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10_069970\OneDrive - Apator S.A\Pulpit\ROBOCZE\STRONA\"/>
    </mc:Choice>
  </mc:AlternateContent>
  <xr:revisionPtr revIDLastSave="0" documentId="13_ncr:1_{81AB9DE5-351E-40C6-9F7E-AF47E28515B3}" xr6:coauthVersionLast="47" xr6:coauthVersionMax="47" xr10:uidLastSave="{00000000-0000-0000-0000-000000000000}"/>
  <bookViews>
    <workbookView xWindow="28680" yWindow="-120" windowWidth="29040" windowHeight="17640" activeTab="1" xr2:uid="{8943EC27-1F06-4808-858D-4F9658680B71}"/>
  </bookViews>
  <sheets>
    <sheet name="Menu" sheetId="9" r:id="rId1"/>
    <sheet name="Summary" sheetId="16" r:id="rId2"/>
    <sheet name="_P&amp;L(g) (old)" sheetId="1" state="hidden" r:id="rId3"/>
    <sheet name="P&amp;L(q)" sheetId="14" r:id="rId4"/>
    <sheet name="P&amp;L(y)" sheetId="13" r:id="rId5"/>
    <sheet name="BS" sheetId="2" r:id="rId6"/>
    <sheet name="CF" sheetId="3" r:id="rId7"/>
    <sheet name="Segmenty 2018" sheetId="6" state="hidden" r:id="rId8"/>
    <sheet name="Segmenty 2019 (2)" sheetId="7" state="hidden" r:id="rId9"/>
    <sheet name="Segmenty 2019" sheetId="4" state="hidden" r:id="rId10"/>
    <sheet name="Segmenty 2020 (2)" sheetId="8" state="hidden" r:id="rId11"/>
    <sheet name="Segmenty 2020" sheetId="5" state="hidden" r:id="rId12"/>
    <sheet name="EE" sheetId="10" r:id="rId13"/>
    <sheet name="GAZ" sheetId="11" r:id="rId14"/>
    <sheet name="W&amp;H" sheetId="12" r:id="rId15"/>
    <sheet name="Arkusz2" sheetId="18" state="hidden" r:id="rId16"/>
    <sheet name="Arkusz1" sheetId="17" state="hidden" r:id="rId17"/>
  </sheets>
  <definedNames>
    <definedName name="_xlnm.Print_Area" localSheetId="2">'_P&amp;L(g) (old)'!$B$1:$R$41</definedName>
    <definedName name="_xlnm.Print_Area" localSheetId="5">BS!$B$1:$AR$106</definedName>
    <definedName name="_xlnm.Print_Area" localSheetId="6">CF!$B$5:$BC$88</definedName>
    <definedName name="_xlnm.Print_Area" localSheetId="12">EE!$B$1:$AU$33</definedName>
    <definedName name="_xlnm.Print_Area" localSheetId="13">GAZ!$B$1:$AR$22</definedName>
    <definedName name="_xlnm.Print_Area" localSheetId="3">'P&amp;L(q)'!$B$1:$V$66</definedName>
    <definedName name="_xlnm.Print_Area" localSheetId="4">'P&amp;L(y)'!$B$1:$N$66</definedName>
    <definedName name="_xlnm.Print_Area" localSheetId="7">'Segmenty 2018'!$B$1:$J$19</definedName>
    <definedName name="_xlnm.Print_Area" localSheetId="9">'Segmenty 2019'!$B$1:$J$19</definedName>
    <definedName name="_xlnm.Print_Area" localSheetId="8">'Segmenty 2019 (2)'!$B$1:$J$31</definedName>
    <definedName name="_xlnm.Print_Area" localSheetId="11">'Segmenty 2020'!$B$1:$J$18</definedName>
    <definedName name="_xlnm.Print_Area" localSheetId="10">'Segmenty 2020 (2)'!$B$1:$J$30</definedName>
    <definedName name="_xlnm.Print_Area" localSheetId="1">Summary!$B$1:$N$35</definedName>
    <definedName name="_xlnm.Print_Area" localSheetId="14">'W&amp;H'!$B$1:$AR$22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32" i="16" l="1"/>
  <c r="P31" i="16"/>
  <c r="P30" i="16"/>
  <c r="P29" i="16"/>
  <c r="P28" i="16"/>
  <c r="P27" i="16"/>
  <c r="P26" i="16"/>
  <c r="P22" i="16"/>
  <c r="P21" i="16"/>
  <c r="P20" i="16"/>
  <c r="P17" i="16"/>
  <c r="P16" i="16"/>
  <c r="P15" i="16"/>
  <c r="P14" i="16"/>
  <c r="P13" i="16"/>
  <c r="P12" i="16"/>
  <c r="P11" i="16"/>
  <c r="P10" i="16"/>
  <c r="AT16" i="12"/>
  <c r="AT20" i="12"/>
  <c r="AT18" i="12"/>
  <c r="AT17" i="12"/>
  <c r="AT15" i="12"/>
  <c r="AT13" i="12"/>
  <c r="AT12" i="12"/>
  <c r="AT10" i="12"/>
  <c r="AT9" i="12"/>
  <c r="AT11" i="12" s="1"/>
  <c r="AT14" i="12" s="1"/>
  <c r="AJ11" i="12"/>
  <c r="AJ14" i="12" s="1"/>
  <c r="AJ19" i="12" s="1"/>
  <c r="AJ21" i="12" s="1"/>
  <c r="AJ21" i="11"/>
  <c r="AJ19" i="11"/>
  <c r="AJ14" i="11"/>
  <c r="AJ11" i="11"/>
  <c r="AT20" i="11"/>
  <c r="AT18" i="11"/>
  <c r="AT17" i="11"/>
  <c r="AT16" i="11"/>
  <c r="AT15" i="11"/>
  <c r="AT13" i="11"/>
  <c r="AT12" i="11"/>
  <c r="AT10" i="11"/>
  <c r="AT9" i="11"/>
  <c r="AT11" i="11" s="1"/>
  <c r="AJ29" i="10"/>
  <c r="AJ31" i="10" s="1"/>
  <c r="AT20" i="10"/>
  <c r="AT18" i="10"/>
  <c r="AT17" i="10"/>
  <c r="AT16" i="10"/>
  <c r="AT15" i="10"/>
  <c r="AT13" i="10"/>
  <c r="AT12" i="10"/>
  <c r="AT10" i="10"/>
  <c r="AT9" i="10"/>
  <c r="AT11" i="10" s="1"/>
  <c r="AJ11" i="10"/>
  <c r="AJ14" i="10" s="1"/>
  <c r="AJ19" i="10" s="1"/>
  <c r="AJ21" i="10" s="1"/>
  <c r="AT19" i="12" l="1"/>
  <c r="AT14" i="11"/>
  <c r="AT19" i="11" s="1"/>
  <c r="AT21" i="11" s="1"/>
  <c r="AT14" i="10"/>
  <c r="AT19" i="10" s="1"/>
  <c r="AT21" i="10" s="1"/>
  <c r="AT21" i="12" l="1"/>
  <c r="AJ85" i="3" l="1"/>
  <c r="BR81" i="3"/>
  <c r="BR80" i="3"/>
  <c r="BR79" i="3"/>
  <c r="BR78" i="3"/>
  <c r="BR77" i="3"/>
  <c r="BR76" i="3"/>
  <c r="BR75" i="3"/>
  <c r="BR74" i="3"/>
  <c r="BR73" i="3"/>
  <c r="BR72" i="3"/>
  <c r="BR82" i="3" s="1"/>
  <c r="BR71" i="3"/>
  <c r="BR68" i="3"/>
  <c r="BR67" i="3"/>
  <c r="BR66" i="3"/>
  <c r="BR65" i="3"/>
  <c r="BR64" i="3"/>
  <c r="BR63" i="3"/>
  <c r="BR62" i="3"/>
  <c r="BR61" i="3"/>
  <c r="BR60" i="3"/>
  <c r="BR59" i="3"/>
  <c r="BR58" i="3"/>
  <c r="BR57" i="3"/>
  <c r="BR56" i="3"/>
  <c r="BR55" i="3"/>
  <c r="BR54" i="3"/>
  <c r="BR53" i="3"/>
  <c r="BR52" i="3"/>
  <c r="BR51" i="3"/>
  <c r="BR50" i="3"/>
  <c r="BR47" i="3"/>
  <c r="BR46" i="3"/>
  <c r="BR45" i="3"/>
  <c r="BR43" i="3"/>
  <c r="BR42" i="3"/>
  <c r="BR41" i="3"/>
  <c r="BR40" i="3"/>
  <c r="BR39" i="3"/>
  <c r="BR38" i="3"/>
  <c r="BR37" i="3"/>
  <c r="BR36" i="3"/>
  <c r="BR35" i="3"/>
  <c r="BR34" i="3"/>
  <c r="BR33" i="3"/>
  <c r="BR31" i="3"/>
  <c r="BR30" i="3"/>
  <c r="BR29" i="3"/>
  <c r="BR28" i="3"/>
  <c r="BR27" i="3"/>
  <c r="BR26" i="3"/>
  <c r="BR25" i="3"/>
  <c r="BR24" i="3"/>
  <c r="BR23" i="3"/>
  <c r="BR22" i="3"/>
  <c r="BR21" i="3"/>
  <c r="BR20" i="3"/>
  <c r="BR19" i="3"/>
  <c r="BR18" i="3"/>
  <c r="BR17" i="3"/>
  <c r="BR16" i="3"/>
  <c r="BR15" i="3"/>
  <c r="BR14" i="3"/>
  <c r="BR13" i="3"/>
  <c r="BR11" i="3"/>
  <c r="AJ12" i="3"/>
  <c r="AJ32" i="3" s="1"/>
  <c r="AJ44" i="3" s="1"/>
  <c r="AJ48" i="3" s="1"/>
  <c r="AJ83" i="3" s="1"/>
  <c r="AJ69" i="3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5" i="2"/>
  <c r="AT26" i="2"/>
  <c r="AT27" i="2"/>
  <c r="AT28" i="2"/>
  <c r="AT29" i="2"/>
  <c r="AT30" i="2"/>
  <c r="AT32" i="2"/>
  <c r="AT33" i="2"/>
  <c r="AT34" i="2"/>
  <c r="AT35" i="2"/>
  <c r="AT36" i="2"/>
  <c r="AT37" i="2"/>
  <c r="AT38" i="2"/>
  <c r="AT40" i="2"/>
  <c r="AT41" i="2"/>
  <c r="AT43" i="2"/>
  <c r="AT44" i="2"/>
  <c r="AT46" i="2"/>
  <c r="AT47" i="2"/>
  <c r="AT48" i="2"/>
  <c r="AT49" i="2"/>
  <c r="AT51" i="2"/>
  <c r="AT52" i="2"/>
  <c r="AT53" i="2"/>
  <c r="AT57" i="2"/>
  <c r="AT58" i="2"/>
  <c r="AT59" i="2"/>
  <c r="AT60" i="2"/>
  <c r="AT61" i="2"/>
  <c r="AT62" i="2"/>
  <c r="AT63" i="2"/>
  <c r="AT64" i="2"/>
  <c r="AT66" i="2"/>
  <c r="AT67" i="2"/>
  <c r="AT68" i="2"/>
  <c r="AT69" i="2"/>
  <c r="AT73" i="2"/>
  <c r="AT74" i="2"/>
  <c r="AT76" i="2"/>
  <c r="AT77" i="2"/>
  <c r="AT78" i="2"/>
  <c r="AT79" i="2"/>
  <c r="AT80" i="2"/>
  <c r="AT81" i="2"/>
  <c r="AT82" i="2"/>
  <c r="AT83" i="2"/>
  <c r="AT84" i="2"/>
  <c r="AT85" i="2"/>
  <c r="AT88" i="2"/>
  <c r="AT89" i="2"/>
  <c r="AT91" i="2"/>
  <c r="AT92" i="2"/>
  <c r="AT94" i="2"/>
  <c r="AT95" i="2"/>
  <c r="AT96" i="2"/>
  <c r="AT97" i="2"/>
  <c r="AT98" i="2"/>
  <c r="AT99" i="2"/>
  <c r="AT100" i="2"/>
  <c r="AT101" i="2"/>
  <c r="AT102" i="2"/>
  <c r="AT103" i="2"/>
  <c r="AT104" i="2"/>
  <c r="AT105" i="2"/>
  <c r="AJ18" i="2"/>
  <c r="AJ21" i="2"/>
  <c r="AJ24" i="2"/>
  <c r="AT24" i="2" s="1"/>
  <c r="AJ27" i="2"/>
  <c r="AJ34" i="2"/>
  <c r="AJ39" i="2"/>
  <c r="AT39" i="2" s="1"/>
  <c r="AJ42" i="2"/>
  <c r="AT42" i="2" s="1"/>
  <c r="AJ45" i="2"/>
  <c r="AT45" i="2" s="1"/>
  <c r="AJ50" i="2"/>
  <c r="AT50" i="2" s="1"/>
  <c r="AJ65" i="2"/>
  <c r="AJ56" i="2" s="1"/>
  <c r="AJ55" i="2" s="1"/>
  <c r="AT55" i="2" s="1"/>
  <c r="AJ72" i="2"/>
  <c r="AT72" i="2" s="1"/>
  <c r="AJ75" i="2"/>
  <c r="AT75" i="2" s="1"/>
  <c r="AJ78" i="2"/>
  <c r="AJ87" i="2"/>
  <c r="AT87" i="2" s="1"/>
  <c r="AJ90" i="2"/>
  <c r="AT90" i="2" s="1"/>
  <c r="AJ93" i="2"/>
  <c r="AT93" i="2" s="1"/>
  <c r="AJ99" i="2"/>
  <c r="Q65" i="13"/>
  <c r="Q64" i="13"/>
  <c r="Q62" i="13"/>
  <c r="Q61" i="13"/>
  <c r="Q58" i="13"/>
  <c r="Q57" i="13"/>
  <c r="Q56" i="13"/>
  <c r="Q49" i="13" s="1"/>
  <c r="Q55" i="13"/>
  <c r="Q54" i="13"/>
  <c r="Q53" i="13"/>
  <c r="Q52" i="13"/>
  <c r="Q51" i="13"/>
  <c r="Q41" i="13"/>
  <c r="Q36" i="13"/>
  <c r="Q33" i="13"/>
  <c r="Q32" i="13"/>
  <c r="Q30" i="13"/>
  <c r="Q29" i="13"/>
  <c r="Q28" i="13"/>
  <c r="Q25" i="13"/>
  <c r="Q24" i="13"/>
  <c r="Q23" i="13"/>
  <c r="Q22" i="13"/>
  <c r="Q21" i="13" s="1"/>
  <c r="Q20" i="13"/>
  <c r="Q18" i="13"/>
  <c r="Q17" i="13"/>
  <c r="Q15" i="13"/>
  <c r="Q14" i="13"/>
  <c r="Q12" i="13"/>
  <c r="Q11" i="13"/>
  <c r="Q10" i="13"/>
  <c r="Q16" i="13" s="1"/>
  <c r="Q19" i="13" s="1"/>
  <c r="Q13" i="13"/>
  <c r="Q27" i="13"/>
  <c r="Q44" i="13"/>
  <c r="P18" i="16" s="1"/>
  <c r="Q60" i="13"/>
  <c r="Q63" i="13"/>
  <c r="AN49" i="14"/>
  <c r="AN60" i="14"/>
  <c r="AN63" i="14"/>
  <c r="AN10" i="14"/>
  <c r="AN13" i="14"/>
  <c r="AN21" i="14"/>
  <c r="AN27" i="14"/>
  <c r="AN44" i="14"/>
  <c r="P33" i="16"/>
  <c r="P34" i="16" s="1"/>
  <c r="AI16" i="12"/>
  <c r="BR12" i="3" l="1"/>
  <c r="BR69" i="3"/>
  <c r="BR32" i="3"/>
  <c r="BR44" i="3" s="1"/>
  <c r="BR48" i="3" s="1"/>
  <c r="BR83" i="3" s="1"/>
  <c r="P23" i="16"/>
  <c r="AT65" i="2"/>
  <c r="AT56" i="2"/>
  <c r="AT10" i="2"/>
  <c r="AJ86" i="2"/>
  <c r="AT86" i="2" s="1"/>
  <c r="AJ31" i="2"/>
  <c r="AT31" i="2" s="1"/>
  <c r="P25" i="16"/>
  <c r="AJ71" i="2"/>
  <c r="AT71" i="2" s="1"/>
  <c r="AJ10" i="2"/>
  <c r="Q26" i="13"/>
  <c r="AN16" i="14"/>
  <c r="AN19" i="14" s="1"/>
  <c r="AN26" i="14" s="1"/>
  <c r="AN31" i="14" s="1"/>
  <c r="AN34" i="14" s="1"/>
  <c r="AN38" i="14" s="1"/>
  <c r="AN59" i="14" s="1"/>
  <c r="P78" i="13"/>
  <c r="AS16" i="12"/>
  <c r="AS15" i="12"/>
  <c r="AS13" i="12"/>
  <c r="AS12" i="12"/>
  <c r="AS10" i="12"/>
  <c r="AS9" i="12"/>
  <c r="AS20" i="12"/>
  <c r="AS18" i="12"/>
  <c r="AS17" i="12"/>
  <c r="AS20" i="11"/>
  <c r="AS17" i="11"/>
  <c r="AS13" i="11"/>
  <c r="AS12" i="11"/>
  <c r="AS10" i="11"/>
  <c r="AS9" i="11"/>
  <c r="AS18" i="11"/>
  <c r="AS16" i="11"/>
  <c r="AS15" i="11"/>
  <c r="AJ70" i="2" l="1"/>
  <c r="AJ54" i="2"/>
  <c r="AT54" i="2" s="1"/>
  <c r="Q31" i="13"/>
  <c r="Q34" i="13" s="1"/>
  <c r="Q38" i="13" s="1"/>
  <c r="Q59" i="13" s="1"/>
  <c r="Q40" i="13"/>
  <c r="Q42" i="13" s="1"/>
  <c r="Q43" i="13" s="1"/>
  <c r="AN40" i="14"/>
  <c r="AN42" i="14" s="1"/>
  <c r="AN43" i="14" s="1"/>
  <c r="AI11" i="12"/>
  <c r="AI14" i="12" s="1"/>
  <c r="AI19" i="12" s="1"/>
  <c r="AI21" i="12" s="1"/>
  <c r="AI11" i="11"/>
  <c r="AI14" i="11" s="1"/>
  <c r="AI19" i="11" s="1"/>
  <c r="AI21" i="11" s="1"/>
  <c r="AJ106" i="2" l="1"/>
  <c r="AT106" i="2" s="1"/>
  <c r="AT70" i="2"/>
  <c r="AS20" i="10"/>
  <c r="AS18" i="10"/>
  <c r="AS17" i="10"/>
  <c r="AS16" i="10"/>
  <c r="AS15" i="10"/>
  <c r="AS13" i="10"/>
  <c r="AS12" i="10"/>
  <c r="AS10" i="10"/>
  <c r="AS9" i="10"/>
  <c r="AI31" i="10"/>
  <c r="AI11" i="10"/>
  <c r="AI14" i="10" s="1"/>
  <c r="AI19" i="10" s="1"/>
  <c r="AI21" i="10" s="1"/>
  <c r="BQ11" i="3"/>
  <c r="BQ13" i="3"/>
  <c r="BQ14" i="3"/>
  <c r="BQ15" i="3"/>
  <c r="BQ16" i="3"/>
  <c r="BQ17" i="3"/>
  <c r="BQ18" i="3"/>
  <c r="BQ19" i="3"/>
  <c r="BQ20" i="3"/>
  <c r="BQ21" i="3"/>
  <c r="BQ22" i="3"/>
  <c r="BQ23" i="3"/>
  <c r="BQ24" i="3"/>
  <c r="BQ25" i="3"/>
  <c r="BQ26" i="3"/>
  <c r="BQ27" i="3"/>
  <c r="BQ28" i="3"/>
  <c r="BQ29" i="3"/>
  <c r="BQ30" i="3"/>
  <c r="BQ31" i="3"/>
  <c r="BQ33" i="3"/>
  <c r="BQ34" i="3"/>
  <c r="BQ35" i="3"/>
  <c r="BQ36" i="3"/>
  <c r="BQ37" i="3"/>
  <c r="BQ38" i="3"/>
  <c r="BQ39" i="3"/>
  <c r="BQ40" i="3"/>
  <c r="BQ41" i="3"/>
  <c r="BQ42" i="3"/>
  <c r="BQ43" i="3"/>
  <c r="BQ45" i="3"/>
  <c r="BQ46" i="3"/>
  <c r="BQ47" i="3"/>
  <c r="BQ50" i="3"/>
  <c r="BQ51" i="3"/>
  <c r="BQ52" i="3"/>
  <c r="BQ53" i="3"/>
  <c r="BQ54" i="3"/>
  <c r="BQ55" i="3"/>
  <c r="BQ56" i="3"/>
  <c r="BQ57" i="3"/>
  <c r="BQ58" i="3"/>
  <c r="BQ59" i="3"/>
  <c r="BQ60" i="3"/>
  <c r="BQ61" i="3"/>
  <c r="BQ62" i="3"/>
  <c r="BQ63" i="3"/>
  <c r="BQ64" i="3"/>
  <c r="BQ65" i="3"/>
  <c r="BQ66" i="3"/>
  <c r="BQ67" i="3"/>
  <c r="BQ68" i="3"/>
  <c r="BQ71" i="3"/>
  <c r="BQ72" i="3"/>
  <c r="BQ73" i="3"/>
  <c r="BQ74" i="3"/>
  <c r="BQ75" i="3"/>
  <c r="BQ76" i="3"/>
  <c r="BQ77" i="3"/>
  <c r="BQ78" i="3"/>
  <c r="BQ79" i="3"/>
  <c r="BQ80" i="3"/>
  <c r="BQ81" i="3"/>
  <c r="AI82" i="3"/>
  <c r="O22" i="16" s="1"/>
  <c r="AI69" i="3"/>
  <c r="O21" i="16" s="1"/>
  <c r="AI12" i="3"/>
  <c r="AI32" i="3" s="1"/>
  <c r="AI44" i="3" s="1"/>
  <c r="AI48" i="3" s="1"/>
  <c r="AS105" i="2"/>
  <c r="AS104" i="2"/>
  <c r="AS103" i="2"/>
  <c r="AS102" i="2"/>
  <c r="AS101" i="2"/>
  <c r="AS100" i="2"/>
  <c r="AS98" i="2"/>
  <c r="AS97" i="2"/>
  <c r="AS96" i="2"/>
  <c r="AS95" i="2"/>
  <c r="AS94" i="2"/>
  <c r="AS92" i="2"/>
  <c r="AS91" i="2"/>
  <c r="AS89" i="2"/>
  <c r="AS88" i="2"/>
  <c r="AS85" i="2"/>
  <c r="AS84" i="2"/>
  <c r="AS83" i="2"/>
  <c r="AS82" i="2"/>
  <c r="AS81" i="2"/>
  <c r="AS80" i="2"/>
  <c r="AS79" i="2"/>
  <c r="AS77" i="2"/>
  <c r="AS76" i="2"/>
  <c r="AS74" i="2"/>
  <c r="AS73" i="2"/>
  <c r="AS69" i="2"/>
  <c r="AS68" i="2"/>
  <c r="AS67" i="2"/>
  <c r="AS66" i="2"/>
  <c r="AS64" i="2"/>
  <c r="AS63" i="2"/>
  <c r="AS62" i="2"/>
  <c r="AS61" i="2"/>
  <c r="AS60" i="2"/>
  <c r="AS59" i="2"/>
  <c r="AS58" i="2"/>
  <c r="AS57" i="2"/>
  <c r="AS53" i="2"/>
  <c r="AS52" i="2"/>
  <c r="AS51" i="2"/>
  <c r="AS49" i="2"/>
  <c r="AS48" i="2"/>
  <c r="AS47" i="2"/>
  <c r="AS46" i="2"/>
  <c r="AS44" i="2"/>
  <c r="AS43" i="2"/>
  <c r="AS41" i="2"/>
  <c r="AS40" i="2"/>
  <c r="AS38" i="2"/>
  <c r="AS37" i="2"/>
  <c r="AS36" i="2"/>
  <c r="AS35" i="2"/>
  <c r="AS33" i="2"/>
  <c r="AS32" i="2"/>
  <c r="AS30" i="2"/>
  <c r="AS29" i="2"/>
  <c r="AS28" i="2"/>
  <c r="AS26" i="2"/>
  <c r="AS25" i="2"/>
  <c r="AS23" i="2"/>
  <c r="AS22" i="2"/>
  <c r="AS20" i="2"/>
  <c r="AS19" i="2"/>
  <c r="AS17" i="2"/>
  <c r="AS16" i="2"/>
  <c r="AS15" i="2"/>
  <c r="AS14" i="2"/>
  <c r="AS13" i="2"/>
  <c r="AS12" i="2"/>
  <c r="AS11" i="2"/>
  <c r="AI93" i="2"/>
  <c r="AS93" i="2" s="1"/>
  <c r="AI78" i="2"/>
  <c r="AS78" i="2" s="1"/>
  <c r="AI50" i="2"/>
  <c r="AS50" i="2" s="1"/>
  <c r="AI27" i="2"/>
  <c r="AS27" i="2" s="1"/>
  <c r="AI99" i="2"/>
  <c r="AS99" i="2" s="1"/>
  <c r="AI90" i="2"/>
  <c r="AS90" i="2" s="1"/>
  <c r="AI87" i="2"/>
  <c r="AS87" i="2" s="1"/>
  <c r="AI75" i="2"/>
  <c r="AS75" i="2" s="1"/>
  <c r="AI72" i="2"/>
  <c r="AS72" i="2" s="1"/>
  <c r="AI65" i="2"/>
  <c r="AI56" i="2" s="1"/>
  <c r="AI55" i="2" s="1"/>
  <c r="AS55" i="2" s="1"/>
  <c r="AI45" i="2"/>
  <c r="AS45" i="2" s="1"/>
  <c r="AI42" i="2"/>
  <c r="AS42" i="2" s="1"/>
  <c r="AI39" i="2"/>
  <c r="AS39" i="2" s="1"/>
  <c r="AI34" i="2"/>
  <c r="AS34" i="2" s="1"/>
  <c r="AI24" i="2"/>
  <c r="AS24" i="2" s="1"/>
  <c r="AI21" i="2"/>
  <c r="AS21" i="2" s="1"/>
  <c r="AI18" i="2"/>
  <c r="AS18" i="2" s="1"/>
  <c r="P65" i="13"/>
  <c r="P64" i="13"/>
  <c r="P62" i="13"/>
  <c r="P61" i="13"/>
  <c r="P58" i="13"/>
  <c r="P57" i="13"/>
  <c r="P56" i="13"/>
  <c r="P55" i="13"/>
  <c r="P54" i="13"/>
  <c r="P53" i="13"/>
  <c r="P52" i="13"/>
  <c r="P51" i="13"/>
  <c r="P41" i="13"/>
  <c r="P36" i="13"/>
  <c r="P33" i="13"/>
  <c r="P32" i="13"/>
  <c r="P30" i="13"/>
  <c r="P29" i="13"/>
  <c r="P28" i="13"/>
  <c r="P25" i="13"/>
  <c r="P24" i="13"/>
  <c r="P23" i="13"/>
  <c r="P22" i="13"/>
  <c r="P20" i="13"/>
  <c r="P18" i="13"/>
  <c r="P17" i="13"/>
  <c r="P15" i="13"/>
  <c r="P14" i="13"/>
  <c r="P12" i="13"/>
  <c r="P11" i="13"/>
  <c r="AM63" i="14"/>
  <c r="AM60" i="14"/>
  <c r="AM49" i="14"/>
  <c r="AM76" i="14"/>
  <c r="AM78" i="14"/>
  <c r="AM44" i="14" s="1"/>
  <c r="AM27" i="14"/>
  <c r="AM21" i="14"/>
  <c r="AM13" i="14"/>
  <c r="AM10" i="14"/>
  <c r="AH11" i="12"/>
  <c r="AH14" i="12" s="1"/>
  <c r="AH19" i="12" s="1"/>
  <c r="AH21" i="12" s="1"/>
  <c r="AH11" i="11"/>
  <c r="AH14" i="11" s="1"/>
  <c r="AH19" i="11" s="1"/>
  <c r="AH21" i="11" s="1"/>
  <c r="AI83" i="3" l="1"/>
  <c r="O20" i="16"/>
  <c r="AS65" i="2"/>
  <c r="AS56" i="2"/>
  <c r="BQ82" i="3"/>
  <c r="BQ69" i="3"/>
  <c r="BQ12" i="3"/>
  <c r="BQ32" i="3" s="1"/>
  <c r="BQ44" i="3" s="1"/>
  <c r="BQ48" i="3" s="1"/>
  <c r="AI71" i="2"/>
  <c r="AS71" i="2" s="1"/>
  <c r="AI86" i="2"/>
  <c r="AS86" i="2" s="1"/>
  <c r="AI31" i="2"/>
  <c r="AS31" i="2" s="1"/>
  <c r="AI10" i="2"/>
  <c r="AM16" i="14"/>
  <c r="AM19" i="14" s="1"/>
  <c r="AM26" i="14" s="1"/>
  <c r="AM40" i="14" s="1"/>
  <c r="AM42" i="14" s="1"/>
  <c r="AM43" i="14" s="1"/>
  <c r="AH31" i="10"/>
  <c r="AH11" i="10"/>
  <c r="AH14" i="10" s="1"/>
  <c r="AH19" i="10" s="1"/>
  <c r="AH21" i="10" s="1"/>
  <c r="BP11" i="3"/>
  <c r="BP13" i="3"/>
  <c r="BP14" i="3"/>
  <c r="BP15" i="3"/>
  <c r="BP16" i="3"/>
  <c r="BP17" i="3"/>
  <c r="BP18" i="3"/>
  <c r="BP19" i="3"/>
  <c r="BP20" i="3"/>
  <c r="BP21" i="3"/>
  <c r="BP22" i="3"/>
  <c r="BP23" i="3"/>
  <c r="BP24" i="3"/>
  <c r="BP25" i="3"/>
  <c r="BP26" i="3"/>
  <c r="BP27" i="3"/>
  <c r="BP28" i="3"/>
  <c r="BP29" i="3"/>
  <c r="BP30" i="3"/>
  <c r="BP31" i="3"/>
  <c r="BP33" i="3"/>
  <c r="BP34" i="3"/>
  <c r="BP35" i="3"/>
  <c r="BP36" i="3"/>
  <c r="BP37" i="3"/>
  <c r="BP38" i="3"/>
  <c r="BP39" i="3"/>
  <c r="BP40" i="3"/>
  <c r="BP41" i="3"/>
  <c r="BP42" i="3"/>
  <c r="BP43" i="3"/>
  <c r="BP45" i="3"/>
  <c r="BP46" i="3"/>
  <c r="BP47" i="3"/>
  <c r="BP50" i="3"/>
  <c r="BP51" i="3"/>
  <c r="BP52" i="3"/>
  <c r="BP53" i="3"/>
  <c r="BP54" i="3"/>
  <c r="BP55" i="3"/>
  <c r="BP56" i="3"/>
  <c r="BP57" i="3"/>
  <c r="BP58" i="3"/>
  <c r="BP59" i="3"/>
  <c r="BP60" i="3"/>
  <c r="BP61" i="3"/>
  <c r="BP62" i="3"/>
  <c r="BP63" i="3"/>
  <c r="BP64" i="3"/>
  <c r="BP65" i="3"/>
  <c r="BP66" i="3"/>
  <c r="BP67" i="3"/>
  <c r="BP68" i="3"/>
  <c r="BP71" i="3"/>
  <c r="BP72" i="3"/>
  <c r="BP73" i="3"/>
  <c r="BP74" i="3"/>
  <c r="BP75" i="3"/>
  <c r="BP76" i="3"/>
  <c r="BP77" i="3"/>
  <c r="BP78" i="3"/>
  <c r="BP79" i="3"/>
  <c r="BP80" i="3"/>
  <c r="BP81" i="3"/>
  <c r="AH82" i="3"/>
  <c r="AH69" i="3"/>
  <c r="AH12" i="3"/>
  <c r="AH32" i="3" s="1"/>
  <c r="AH44" i="3" s="1"/>
  <c r="AH48" i="3" s="1"/>
  <c r="AH93" i="2"/>
  <c r="AH78" i="2"/>
  <c r="AH50" i="2"/>
  <c r="AH27" i="2"/>
  <c r="AH99" i="2"/>
  <c r="AH90" i="2"/>
  <c r="AH87" i="2"/>
  <c r="AH75" i="2"/>
  <c r="AH72" i="2"/>
  <c r="AH65" i="2"/>
  <c r="AH45" i="2"/>
  <c r="AH42" i="2"/>
  <c r="AH39" i="2"/>
  <c r="AH34" i="2"/>
  <c r="AH24" i="2"/>
  <c r="AH21" i="2"/>
  <c r="AH18" i="2"/>
  <c r="AL78" i="14"/>
  <c r="AL44" i="14" s="1"/>
  <c r="AK76" i="14"/>
  <c r="AL76" i="14"/>
  <c r="AL63" i="14"/>
  <c r="AL60" i="14"/>
  <c r="AL49" i="14"/>
  <c r="AL27" i="14"/>
  <c r="AL21" i="14"/>
  <c r="AL13" i="14"/>
  <c r="AL10" i="14"/>
  <c r="BO72" i="3"/>
  <c r="BO73" i="3"/>
  <c r="BO74" i="3"/>
  <c r="BO75" i="3"/>
  <c r="BO76" i="3"/>
  <c r="BO77" i="3"/>
  <c r="BO78" i="3"/>
  <c r="BO79" i="3"/>
  <c r="BO80" i="3"/>
  <c r="BO81" i="3"/>
  <c r="BO51" i="3"/>
  <c r="BO52" i="3"/>
  <c r="BO53" i="3"/>
  <c r="BO54" i="3"/>
  <c r="BO55" i="3"/>
  <c r="BO56" i="3"/>
  <c r="BO57" i="3"/>
  <c r="BO58" i="3"/>
  <c r="BO59" i="3"/>
  <c r="BO60" i="3"/>
  <c r="BO61" i="3"/>
  <c r="BO62" i="3"/>
  <c r="BO63" i="3"/>
  <c r="BO64" i="3"/>
  <c r="BO65" i="3"/>
  <c r="BO66" i="3"/>
  <c r="BO67" i="3"/>
  <c r="BO68" i="3"/>
  <c r="BO46" i="3"/>
  <c r="BO47" i="3"/>
  <c r="BO34" i="3"/>
  <c r="BO35" i="3"/>
  <c r="BO36" i="3"/>
  <c r="BO37" i="3"/>
  <c r="BO38" i="3"/>
  <c r="BO39" i="3"/>
  <c r="BO40" i="3"/>
  <c r="BO41" i="3"/>
  <c r="BO42" i="3"/>
  <c r="BO43" i="3"/>
  <c r="BO14" i="3"/>
  <c r="BO15" i="3"/>
  <c r="BO16" i="3"/>
  <c r="BO17" i="3"/>
  <c r="BO18" i="3"/>
  <c r="BO19" i="3"/>
  <c r="BO20" i="3"/>
  <c r="BO21" i="3"/>
  <c r="BO22" i="3"/>
  <c r="BO23" i="3"/>
  <c r="BO24" i="3"/>
  <c r="BO25" i="3"/>
  <c r="BO26" i="3"/>
  <c r="BO27" i="3"/>
  <c r="BO28" i="3"/>
  <c r="BO29" i="3"/>
  <c r="BO30" i="3"/>
  <c r="BO31" i="3"/>
  <c r="AG11" i="12"/>
  <c r="AG14" i="12" s="1"/>
  <c r="AG19" i="12" s="1"/>
  <c r="AG21" i="12" s="1"/>
  <c r="AG11" i="11"/>
  <c r="AG14" i="11" s="1"/>
  <c r="AG19" i="11" s="1"/>
  <c r="AG21" i="11" s="1"/>
  <c r="BQ83" i="3" l="1"/>
  <c r="BP82" i="3"/>
  <c r="BP69" i="3"/>
  <c r="BP12" i="3"/>
  <c r="BP32" i="3" s="1"/>
  <c r="BP44" i="3" s="1"/>
  <c r="BP48" i="3" s="1"/>
  <c r="AI70" i="2"/>
  <c r="AS70" i="2" s="1"/>
  <c r="AI54" i="2"/>
  <c r="AS54" i="2" s="1"/>
  <c r="AH71" i="2"/>
  <c r="AH56" i="2"/>
  <c r="AM31" i="14"/>
  <c r="AM34" i="14" s="1"/>
  <c r="AM38" i="14" s="1"/>
  <c r="AM59" i="14" s="1"/>
  <c r="AH83" i="3"/>
  <c r="AH86" i="2"/>
  <c r="AH31" i="2"/>
  <c r="AH10" i="2"/>
  <c r="AL16" i="14"/>
  <c r="AL19" i="14" s="1"/>
  <c r="AL26" i="14" s="1"/>
  <c r="AL31" i="14" s="1"/>
  <c r="AL34" i="14" s="1"/>
  <c r="AL38" i="14" s="1"/>
  <c r="AL59" i="14" s="1"/>
  <c r="AG31" i="10"/>
  <c r="AG11" i="10"/>
  <c r="AG14" i="10" s="1"/>
  <c r="AG19" i="10" s="1"/>
  <c r="AG21" i="10" s="1"/>
  <c r="BO71" i="3"/>
  <c r="BO50" i="3"/>
  <c r="BO69" i="3" s="1"/>
  <c r="BO45" i="3"/>
  <c r="BO33" i="3"/>
  <c r="BO13" i="3"/>
  <c r="BO11" i="3"/>
  <c r="AG82" i="3"/>
  <c r="AG69" i="3"/>
  <c r="AG12" i="3"/>
  <c r="AG32" i="3" s="1"/>
  <c r="AG44" i="3" s="1"/>
  <c r="AG48" i="3" s="1"/>
  <c r="AG50" i="2"/>
  <c r="AG27" i="2"/>
  <c r="AG99" i="2"/>
  <c r="AG93" i="2"/>
  <c r="AG90" i="2"/>
  <c r="AG87" i="2"/>
  <c r="AG78" i="2"/>
  <c r="AG75" i="2"/>
  <c r="AG72" i="2"/>
  <c r="AG65" i="2"/>
  <c r="AG56" i="2" s="1"/>
  <c r="AG55" i="2" s="1"/>
  <c r="AG45" i="2"/>
  <c r="AG42" i="2"/>
  <c r="AG39" i="2"/>
  <c r="AG34" i="2"/>
  <c r="AG24" i="2"/>
  <c r="AG21" i="2"/>
  <c r="AG18" i="2"/>
  <c r="AK78" i="14"/>
  <c r="AK44" i="14" s="1"/>
  <c r="AK63" i="14"/>
  <c r="AK60" i="14"/>
  <c r="AK49" i="14"/>
  <c r="AK27" i="14"/>
  <c r="AK21" i="14"/>
  <c r="AK13" i="14"/>
  <c r="AK10" i="14"/>
  <c r="AS11" i="12"/>
  <c r="AF11" i="12"/>
  <c r="AF14" i="12" s="1"/>
  <c r="AF19" i="12" s="1"/>
  <c r="AF21" i="12" s="1"/>
  <c r="AS11" i="11"/>
  <c r="AF11" i="11"/>
  <c r="AF14" i="11" s="1"/>
  <c r="AF19" i="11" s="1"/>
  <c r="AF21" i="11" s="1"/>
  <c r="BP83" i="3" l="1"/>
  <c r="AS14" i="12"/>
  <c r="AS19" i="12" s="1"/>
  <c r="AI106" i="2"/>
  <c r="AS106" i="2" s="1"/>
  <c r="AH70" i="2"/>
  <c r="AH55" i="2"/>
  <c r="AS14" i="11"/>
  <c r="AH54" i="2"/>
  <c r="AG10" i="2"/>
  <c r="AL40" i="14"/>
  <c r="AL42" i="14" s="1"/>
  <c r="AL43" i="14" s="1"/>
  <c r="AS11" i="10"/>
  <c r="AG83" i="3"/>
  <c r="BO82" i="3"/>
  <c r="BO12" i="3"/>
  <c r="BO32" i="3" s="1"/>
  <c r="BO44" i="3" s="1"/>
  <c r="BO48" i="3" s="1"/>
  <c r="AG71" i="2"/>
  <c r="AG31" i="2"/>
  <c r="AG86" i="2"/>
  <c r="AK16" i="14"/>
  <c r="AK19" i="14" s="1"/>
  <c r="AK26" i="14" s="1"/>
  <c r="AK40" i="14" s="1"/>
  <c r="AK42" i="14" s="1"/>
  <c r="AK43" i="14" s="1"/>
  <c r="AF31" i="10"/>
  <c r="AF11" i="10"/>
  <c r="AF14" i="10" s="1"/>
  <c r="AF19" i="10" s="1"/>
  <c r="AF21" i="10" s="1"/>
  <c r="BM42" i="3"/>
  <c r="BO83" i="3" l="1"/>
  <c r="AS14" i="10"/>
  <c r="AH106" i="2"/>
  <c r="AS21" i="12"/>
  <c r="AS19" i="11"/>
  <c r="AG54" i="2"/>
  <c r="AG70" i="2"/>
  <c r="AK31" i="14"/>
  <c r="AK34" i="14" s="1"/>
  <c r="AK38" i="14" s="1"/>
  <c r="AK59" i="14" s="1"/>
  <c r="BN54" i="3"/>
  <c r="BN55" i="3"/>
  <c r="BN56" i="3"/>
  <c r="BN57" i="3"/>
  <c r="BN58" i="3"/>
  <c r="BN59" i="3"/>
  <c r="BN60" i="3"/>
  <c r="BN61" i="3"/>
  <c r="BN62" i="3"/>
  <c r="BN63" i="3"/>
  <c r="BN64" i="3"/>
  <c r="BN65" i="3"/>
  <c r="BN66" i="3"/>
  <c r="BN67" i="3"/>
  <c r="BN34" i="3"/>
  <c r="BN35" i="3"/>
  <c r="BN36" i="3"/>
  <c r="BN37" i="3"/>
  <c r="BN38" i="3"/>
  <c r="BN39" i="3"/>
  <c r="BN40" i="3"/>
  <c r="BN41" i="3"/>
  <c r="BN42" i="3"/>
  <c r="BN43" i="3"/>
  <c r="BN18" i="3"/>
  <c r="BN19" i="3"/>
  <c r="BN20" i="3"/>
  <c r="BN21" i="3"/>
  <c r="BN22" i="3"/>
  <c r="BN23" i="3"/>
  <c r="BN24" i="3"/>
  <c r="BN25" i="3"/>
  <c r="BN26" i="3"/>
  <c r="BN27" i="3"/>
  <c r="BN28" i="3"/>
  <c r="BN29" i="3"/>
  <c r="BN30" i="3"/>
  <c r="BN81" i="3"/>
  <c r="BN80" i="3"/>
  <c r="BN79" i="3"/>
  <c r="BN78" i="3"/>
  <c r="BN77" i="3"/>
  <c r="BN76" i="3"/>
  <c r="BN75" i="3"/>
  <c r="BN74" i="3"/>
  <c r="BN73" i="3"/>
  <c r="BN72" i="3"/>
  <c r="BN71" i="3"/>
  <c r="BN68" i="3"/>
  <c r="BN53" i="3"/>
  <c r="BN52" i="3"/>
  <c r="BN51" i="3"/>
  <c r="BN50" i="3"/>
  <c r="BN47" i="3"/>
  <c r="BN46" i="3"/>
  <c r="BN45" i="3"/>
  <c r="BN33" i="3"/>
  <c r="BN31" i="3"/>
  <c r="BN17" i="3"/>
  <c r="BN16" i="3"/>
  <c r="BN15" i="3"/>
  <c r="BN14" i="3"/>
  <c r="BN13" i="3"/>
  <c r="BN11" i="3"/>
  <c r="AF82" i="3"/>
  <c r="AF69" i="3"/>
  <c r="AF12" i="3"/>
  <c r="AF32" i="3" s="1"/>
  <c r="AF44" i="3" s="1"/>
  <c r="AF48" i="3" s="1"/>
  <c r="AS19" i="10" l="1"/>
  <c r="AS21" i="11"/>
  <c r="AG106" i="2"/>
  <c r="AF83" i="3"/>
  <c r="BN82" i="3"/>
  <c r="BN69" i="3"/>
  <c r="BN12" i="3"/>
  <c r="AF18" i="2"/>
  <c r="AF10" i="2" s="1"/>
  <c r="AF21" i="2"/>
  <c r="AF24" i="2"/>
  <c r="AF27" i="2"/>
  <c r="AF34" i="2"/>
  <c r="AF39" i="2"/>
  <c r="AF42" i="2"/>
  <c r="AF45" i="2"/>
  <c r="AF50" i="2"/>
  <c r="AF65" i="2"/>
  <c r="AF56" i="2" s="1"/>
  <c r="AF55" i="2" s="1"/>
  <c r="AF72" i="2"/>
  <c r="AF75" i="2"/>
  <c r="AF78" i="2"/>
  <c r="AF87" i="2"/>
  <c r="AF90" i="2"/>
  <c r="AF93" i="2"/>
  <c r="AF99" i="2"/>
  <c r="O30" i="16"/>
  <c r="P63" i="13"/>
  <c r="P27" i="13"/>
  <c r="P13" i="13"/>
  <c r="P10" i="13"/>
  <c r="O10" i="16" s="1"/>
  <c r="P60" i="13"/>
  <c r="AJ49" i="14"/>
  <c r="AJ60" i="14"/>
  <c r="AJ63" i="14"/>
  <c r="AJ10" i="14"/>
  <c r="AJ13" i="14"/>
  <c r="AJ21" i="14"/>
  <c r="AJ27" i="14"/>
  <c r="O29" i="16"/>
  <c r="O23" i="16"/>
  <c r="O16" i="16"/>
  <c r="AE27" i="10"/>
  <c r="AS21" i="10" l="1"/>
  <c r="P21" i="13"/>
  <c r="P49" i="13"/>
  <c r="O15" i="16"/>
  <c r="BN32" i="3"/>
  <c r="AF86" i="2"/>
  <c r="O32" i="16" s="1"/>
  <c r="AF31" i="2"/>
  <c r="O27" i="16" s="1"/>
  <c r="AF71" i="2"/>
  <c r="O28" i="16"/>
  <c r="AS10" i="2"/>
  <c r="O26" i="16" s="1"/>
  <c r="P16" i="13"/>
  <c r="P19" i="13" s="1"/>
  <c r="AJ16" i="14"/>
  <c r="AJ19" i="14" s="1"/>
  <c r="AJ26" i="14" s="1"/>
  <c r="AJ40" i="14" s="1"/>
  <c r="AJ42" i="14" s="1"/>
  <c r="AJ43" i="14" s="1"/>
  <c r="O20" i="13"/>
  <c r="O24" i="13"/>
  <c r="O25" i="13"/>
  <c r="AI75" i="14"/>
  <c r="AQ15" i="12"/>
  <c r="AR15" i="12"/>
  <c r="AQ15" i="11"/>
  <c r="AR15" i="11"/>
  <c r="AE11" i="11"/>
  <c r="AE14" i="11" s="1"/>
  <c r="AE19" i="11" s="1"/>
  <c r="AE21" i="11" s="1"/>
  <c r="AE31" i="10"/>
  <c r="AJ75" i="14" l="1"/>
  <c r="AJ78" i="14" s="1"/>
  <c r="AJ44" i="14" s="1"/>
  <c r="O78" i="13"/>
  <c r="AI76" i="14"/>
  <c r="O25" i="16"/>
  <c r="AF54" i="2"/>
  <c r="P26" i="13"/>
  <c r="P40" i="13" s="1"/>
  <c r="P42" i="13" s="1"/>
  <c r="BN44" i="3"/>
  <c r="AF70" i="2"/>
  <c r="AF106" i="2" s="1"/>
  <c r="O31" i="16"/>
  <c r="AJ31" i="14"/>
  <c r="AJ34" i="14" s="1"/>
  <c r="AJ38" i="14" s="1"/>
  <c r="AJ59" i="14" s="1"/>
  <c r="AI78" i="14"/>
  <c r="AE11" i="12"/>
  <c r="AE14" i="12" s="1"/>
  <c r="AE19" i="12" s="1"/>
  <c r="AE21" i="12" s="1"/>
  <c r="AQ15" i="10"/>
  <c r="AR15" i="10"/>
  <c r="AE11" i="10"/>
  <c r="AE14" i="10" s="1"/>
  <c r="AE19" i="10" s="1"/>
  <c r="AJ76" i="14" l="1"/>
  <c r="O11" i="16"/>
  <c r="P31" i="13"/>
  <c r="P34" i="13" s="1"/>
  <c r="P38" i="13" s="1"/>
  <c r="BN48" i="3"/>
  <c r="O12" i="16"/>
  <c r="P43" i="13"/>
  <c r="AE21" i="10"/>
  <c r="O13" i="16" l="1"/>
  <c r="BN83" i="3"/>
  <c r="O14" i="16"/>
  <c r="P59" i="13"/>
  <c r="AR20" i="12"/>
  <c r="AR18" i="12"/>
  <c r="AR17" i="12"/>
  <c r="AR16" i="12"/>
  <c r="AR13" i="12"/>
  <c r="AR12" i="12"/>
  <c r="AR10" i="12"/>
  <c r="AR9" i="12"/>
  <c r="AR20" i="11"/>
  <c r="AR18" i="11"/>
  <c r="AR17" i="11"/>
  <c r="AR16" i="11"/>
  <c r="AR13" i="11"/>
  <c r="AR12" i="11"/>
  <c r="AR10" i="11"/>
  <c r="AR9" i="11"/>
  <c r="AR20" i="10"/>
  <c r="AR18" i="10"/>
  <c r="AR17" i="10"/>
  <c r="AR16" i="10"/>
  <c r="AR13" i="10"/>
  <c r="AR12" i="10"/>
  <c r="AR10" i="10"/>
  <c r="AR9" i="10"/>
  <c r="BM77" i="3"/>
  <c r="BM76" i="3"/>
  <c r="AE82" i="3"/>
  <c r="N22" i="16" s="1"/>
  <c r="BM64" i="3"/>
  <c r="BM63" i="3"/>
  <c r="BM62" i="3"/>
  <c r="BM55" i="3"/>
  <c r="BM54" i="3"/>
  <c r="BM53" i="3"/>
  <c r="AE69" i="3"/>
  <c r="N21" i="16" s="1"/>
  <c r="BM45" i="3"/>
  <c r="BM40" i="3"/>
  <c r="BM35" i="3"/>
  <c r="BM34" i="3"/>
  <c r="BM28" i="3"/>
  <c r="BM27" i="3"/>
  <c r="BM24" i="3"/>
  <c r="BM20" i="3"/>
  <c r="BM19" i="3"/>
  <c r="AE12" i="3"/>
  <c r="AE32" i="3" s="1"/>
  <c r="BM14" i="3"/>
  <c r="BM11" i="3"/>
  <c r="BM13" i="3"/>
  <c r="BM16" i="3"/>
  <c r="BM17" i="3"/>
  <c r="BM21" i="3"/>
  <c r="BM22" i="3"/>
  <c r="BM23" i="3"/>
  <c r="BM25" i="3"/>
  <c r="BM26" i="3"/>
  <c r="BM29" i="3"/>
  <c r="BM30" i="3"/>
  <c r="BM31" i="3"/>
  <c r="BM33" i="3"/>
  <c r="BM37" i="3"/>
  <c r="BM39" i="3"/>
  <c r="BM41" i="3"/>
  <c r="BM43" i="3"/>
  <c r="BM46" i="3"/>
  <c r="BM47" i="3"/>
  <c r="BM50" i="3"/>
  <c r="BM51" i="3"/>
  <c r="BM52" i="3"/>
  <c r="BM57" i="3"/>
  <c r="BM58" i="3"/>
  <c r="BM59" i="3"/>
  <c r="BM60" i="3"/>
  <c r="BM61" i="3"/>
  <c r="BM65" i="3"/>
  <c r="BM66" i="3"/>
  <c r="BM67" i="3"/>
  <c r="BM68" i="3"/>
  <c r="BM71" i="3"/>
  <c r="BM72" i="3"/>
  <c r="BM73" i="3"/>
  <c r="BM74" i="3"/>
  <c r="BM75" i="3"/>
  <c r="BM78" i="3"/>
  <c r="BM79" i="3"/>
  <c r="BM80" i="3"/>
  <c r="BM81" i="3"/>
  <c r="AR96" i="2"/>
  <c r="AR95" i="2"/>
  <c r="AR94" i="2"/>
  <c r="AR81" i="2"/>
  <c r="AR80" i="2"/>
  <c r="AR79" i="2"/>
  <c r="AR63" i="2"/>
  <c r="AR28" i="2"/>
  <c r="AR52" i="2"/>
  <c r="AR51" i="2"/>
  <c r="AR29" i="2"/>
  <c r="AR105" i="2"/>
  <c r="AR104" i="2"/>
  <c r="AR103" i="2"/>
  <c r="AR102" i="2"/>
  <c r="AR101" i="2"/>
  <c r="AR100" i="2"/>
  <c r="AR98" i="2"/>
  <c r="AR97" i="2"/>
  <c r="AR92" i="2"/>
  <c r="AR91" i="2"/>
  <c r="AR89" i="2"/>
  <c r="AR88" i="2"/>
  <c r="AR85" i="2"/>
  <c r="AR84" i="2"/>
  <c r="AR83" i="2"/>
  <c r="AR82" i="2"/>
  <c r="AR77" i="2"/>
  <c r="AR76" i="2"/>
  <c r="AR74" i="2"/>
  <c r="AR73" i="2"/>
  <c r="AR69" i="2"/>
  <c r="AR68" i="2"/>
  <c r="AR67" i="2"/>
  <c r="AR66" i="2"/>
  <c r="AR64" i="2"/>
  <c r="AR62" i="2"/>
  <c r="AR61" i="2"/>
  <c r="AR60" i="2"/>
  <c r="AR59" i="2"/>
  <c r="AR58" i="2"/>
  <c r="AR57" i="2"/>
  <c r="AR53" i="2"/>
  <c r="AR49" i="2"/>
  <c r="AR48" i="2"/>
  <c r="AR47" i="2"/>
  <c r="AR46" i="2"/>
  <c r="AR44" i="2"/>
  <c r="AR43" i="2"/>
  <c r="AR41" i="2"/>
  <c r="AR40" i="2"/>
  <c r="AR38" i="2"/>
  <c r="AR37" i="2"/>
  <c r="AR36" i="2"/>
  <c r="AR35" i="2"/>
  <c r="AR33" i="2"/>
  <c r="AR32" i="2"/>
  <c r="AR30" i="2"/>
  <c r="AR26" i="2"/>
  <c r="AR25" i="2"/>
  <c r="AR23" i="2"/>
  <c r="AR22" i="2"/>
  <c r="AR20" i="2"/>
  <c r="AR19" i="2"/>
  <c r="AR17" i="2"/>
  <c r="AR16" i="2"/>
  <c r="AR15" i="2"/>
  <c r="AR14" i="2"/>
  <c r="AR13" i="2"/>
  <c r="AR12" i="2"/>
  <c r="AR11" i="2"/>
  <c r="AE93" i="2"/>
  <c r="AR93" i="2" s="1"/>
  <c r="AE78" i="2"/>
  <c r="AE50" i="2"/>
  <c r="AR50" i="2" s="1"/>
  <c r="AE27" i="2"/>
  <c r="AR27" i="2" s="1"/>
  <c r="AE99" i="2"/>
  <c r="AR99" i="2" s="1"/>
  <c r="AE90" i="2"/>
  <c r="AR90" i="2" s="1"/>
  <c r="AE87" i="2"/>
  <c r="AE75" i="2"/>
  <c r="AR75" i="2" s="1"/>
  <c r="AE72" i="2"/>
  <c r="AR72" i="2" s="1"/>
  <c r="AE65" i="2"/>
  <c r="AE56" i="2" s="1"/>
  <c r="AE55" i="2" s="1"/>
  <c r="AR55" i="2" s="1"/>
  <c r="AE45" i="2"/>
  <c r="AR45" i="2" s="1"/>
  <c r="AE42" i="2"/>
  <c r="AR42" i="2" s="1"/>
  <c r="AE39" i="2"/>
  <c r="AR39" i="2" s="1"/>
  <c r="AE34" i="2"/>
  <c r="AR34" i="2" s="1"/>
  <c r="AE24" i="2"/>
  <c r="AR24" i="2" s="1"/>
  <c r="AE21" i="2"/>
  <c r="AR21" i="2" s="1"/>
  <c r="AE18" i="2"/>
  <c r="AH28" i="14"/>
  <c r="O28" i="13" s="1"/>
  <c r="AH29" i="14"/>
  <c r="AH23" i="14"/>
  <c r="O23" i="13" s="1"/>
  <c r="O65" i="13"/>
  <c r="O64" i="13"/>
  <c r="O62" i="13"/>
  <c r="O61" i="13"/>
  <c r="O58" i="13"/>
  <c r="O57" i="13"/>
  <c r="O56" i="13"/>
  <c r="O55" i="13"/>
  <c r="O54" i="13"/>
  <c r="O53" i="13"/>
  <c r="O52" i="13"/>
  <c r="O51" i="13"/>
  <c r="O41" i="13"/>
  <c r="O36" i="13"/>
  <c r="O33" i="13"/>
  <c r="O32" i="13"/>
  <c r="O30" i="13"/>
  <c r="O29" i="13"/>
  <c r="O22" i="13"/>
  <c r="O18" i="13"/>
  <c r="O17" i="13"/>
  <c r="O15" i="13"/>
  <c r="O14" i="13"/>
  <c r="O12" i="13"/>
  <c r="O11" i="13"/>
  <c r="AI63" i="14"/>
  <c r="AI60" i="14"/>
  <c r="AI49" i="14"/>
  <c r="AI44" i="14"/>
  <c r="AI27" i="14"/>
  <c r="AI13" i="14"/>
  <c r="AI10" i="14"/>
  <c r="AE31" i="2" l="1"/>
  <c r="AR31" i="2" s="1"/>
  <c r="AE10" i="2"/>
  <c r="AE54" i="2" s="1"/>
  <c r="AE86" i="2"/>
  <c r="AR86" i="2" s="1"/>
  <c r="AE71" i="2"/>
  <c r="AR71" i="2" s="1"/>
  <c r="AR18" i="2"/>
  <c r="AR10" i="2" s="1"/>
  <c r="AR87" i="2"/>
  <c r="AR65" i="2"/>
  <c r="AR78" i="2"/>
  <c r="AR56" i="2"/>
  <c r="BM82" i="3"/>
  <c r="BM69" i="3"/>
  <c r="AE44" i="3"/>
  <c r="BM15" i="3"/>
  <c r="BM12" i="3" s="1"/>
  <c r="BM32" i="3" s="1"/>
  <c r="AI16" i="14"/>
  <c r="AI19" i="14" s="1"/>
  <c r="AD11" i="12"/>
  <c r="AD14" i="12" s="1"/>
  <c r="AD11" i="11"/>
  <c r="AD14" i="11" s="1"/>
  <c r="AD19" i="12" l="1"/>
  <c r="AD21" i="12" s="1"/>
  <c r="AD19" i="11"/>
  <c r="AD21" i="11" s="1"/>
  <c r="AE48" i="3"/>
  <c r="AE70" i="2"/>
  <c r="AR54" i="2"/>
  <c r="AD31" i="10"/>
  <c r="AD11" i="10"/>
  <c r="AD14" i="10" s="1"/>
  <c r="BL11" i="3"/>
  <c r="BL13" i="3"/>
  <c r="BL14" i="3"/>
  <c r="BL15" i="3"/>
  <c r="BL16" i="3"/>
  <c r="BL17" i="3"/>
  <c r="BL19" i="3"/>
  <c r="BL20" i="3"/>
  <c r="BL21" i="3"/>
  <c r="BL22" i="3"/>
  <c r="BL23" i="3"/>
  <c r="BL24" i="3"/>
  <c r="BL25" i="3"/>
  <c r="BL26" i="3"/>
  <c r="BL27" i="3"/>
  <c r="BL28" i="3"/>
  <c r="BL29" i="3"/>
  <c r="BL30" i="3"/>
  <c r="BL31" i="3"/>
  <c r="BL33" i="3"/>
  <c r="BL34" i="3"/>
  <c r="BL35" i="3"/>
  <c r="BL37" i="3"/>
  <c r="BL39" i="3"/>
  <c r="BL40" i="3"/>
  <c r="BL41" i="3"/>
  <c r="BL42" i="3"/>
  <c r="BL43" i="3"/>
  <c r="BL45" i="3"/>
  <c r="BL46" i="3"/>
  <c r="BL47" i="3"/>
  <c r="BL50" i="3"/>
  <c r="BL51" i="3"/>
  <c r="BL52" i="3"/>
  <c r="BL53" i="3"/>
  <c r="BL54" i="3"/>
  <c r="BL55" i="3"/>
  <c r="BL57" i="3"/>
  <c r="BL58" i="3"/>
  <c r="BL59" i="3"/>
  <c r="BL60" i="3"/>
  <c r="BL61" i="3"/>
  <c r="BL62" i="3"/>
  <c r="BL63" i="3"/>
  <c r="BL64" i="3"/>
  <c r="BL65" i="3"/>
  <c r="BL66" i="3"/>
  <c r="BL67" i="3"/>
  <c r="BL68" i="3"/>
  <c r="BL71" i="3"/>
  <c r="BL72" i="3"/>
  <c r="BL73" i="3"/>
  <c r="BL74" i="3"/>
  <c r="BL75" i="3"/>
  <c r="BL76" i="3"/>
  <c r="BL77" i="3"/>
  <c r="BL78" i="3"/>
  <c r="BL79" i="3"/>
  <c r="BL80" i="3"/>
  <c r="BL81" i="3"/>
  <c r="AD82" i="3"/>
  <c r="AD69" i="3"/>
  <c r="AD12" i="3"/>
  <c r="AD32" i="3" s="1"/>
  <c r="AD44" i="3" s="1"/>
  <c r="AD48" i="3" s="1"/>
  <c r="AD99" i="2"/>
  <c r="AD90" i="2"/>
  <c r="AD87" i="2"/>
  <c r="AD75" i="2"/>
  <c r="AD72" i="2"/>
  <c r="AD65" i="2"/>
  <c r="AD56" i="2" s="1"/>
  <c r="AD45" i="2"/>
  <c r="AD42" i="2"/>
  <c r="AD39" i="2"/>
  <c r="AD34" i="2"/>
  <c r="AD24" i="2"/>
  <c r="AD21" i="2"/>
  <c r="AD18" i="2"/>
  <c r="AH76" i="14"/>
  <c r="AH78" i="14"/>
  <c r="AH44" i="14" s="1"/>
  <c r="AH63" i="14"/>
  <c r="AH60" i="14"/>
  <c r="AH49" i="14"/>
  <c r="AH27" i="14"/>
  <c r="AH21" i="14"/>
  <c r="AH13" i="14"/>
  <c r="AH10" i="14"/>
  <c r="AD19" i="10" l="1"/>
  <c r="AD21" i="10" s="1"/>
  <c r="AE83" i="3"/>
  <c r="N20" i="16"/>
  <c r="BL69" i="3"/>
  <c r="AE106" i="2"/>
  <c r="AR106" i="2" s="1"/>
  <c r="AR70" i="2"/>
  <c r="AD10" i="2"/>
  <c r="AD71" i="2"/>
  <c r="BL82" i="3"/>
  <c r="BL12" i="3"/>
  <c r="BL32" i="3" s="1"/>
  <c r="BL44" i="3" s="1"/>
  <c r="BL48" i="3" s="1"/>
  <c r="AD83" i="3"/>
  <c r="AD87" i="3" s="1"/>
  <c r="AD86" i="2"/>
  <c r="AD55" i="2"/>
  <c r="AD31" i="2"/>
  <c r="AH16" i="14"/>
  <c r="AH19" i="14" s="1"/>
  <c r="AH26" i="14" s="1"/>
  <c r="AH31" i="14" s="1"/>
  <c r="AH34" i="14" s="1"/>
  <c r="AH38" i="14" s="1"/>
  <c r="AH59" i="14" s="1"/>
  <c r="BK41" i="3"/>
  <c r="BL83" i="3" l="1"/>
  <c r="AE87" i="3"/>
  <c r="AD70" i="2"/>
  <c r="AD54" i="2"/>
  <c r="AH40" i="14"/>
  <c r="AH42" i="14" s="1"/>
  <c r="AH43" i="14" s="1"/>
  <c r="BK81" i="3"/>
  <c r="BK80" i="3"/>
  <c r="BK79" i="3"/>
  <c r="BK78" i="3"/>
  <c r="BK77" i="3"/>
  <c r="BK76" i="3"/>
  <c r="BK75" i="3"/>
  <c r="BK74" i="3"/>
  <c r="BK73" i="3"/>
  <c r="BK72" i="3"/>
  <c r="BK71" i="3"/>
  <c r="BK68" i="3"/>
  <c r="BK67" i="3"/>
  <c r="BK66" i="3"/>
  <c r="BK65" i="3"/>
  <c r="BK64" i="3"/>
  <c r="BK63" i="3"/>
  <c r="BK62" i="3"/>
  <c r="BK61" i="3"/>
  <c r="BK60" i="3"/>
  <c r="BK59" i="3"/>
  <c r="BK58" i="3"/>
  <c r="BK57" i="3"/>
  <c r="BK55" i="3"/>
  <c r="BK54" i="3"/>
  <c r="BK53" i="3"/>
  <c r="BK52" i="3"/>
  <c r="BK51" i="3"/>
  <c r="BK50" i="3"/>
  <c r="BK47" i="3"/>
  <c r="BK46" i="3"/>
  <c r="BK45" i="3"/>
  <c r="BK43" i="3"/>
  <c r="BK42" i="3"/>
  <c r="BK40" i="3"/>
  <c r="BK39" i="3"/>
  <c r="BK37" i="3"/>
  <c r="BK35" i="3"/>
  <c r="BK34" i="3"/>
  <c r="BK33" i="3"/>
  <c r="BK31" i="3"/>
  <c r="BK30" i="3"/>
  <c r="BK29" i="3"/>
  <c r="BK28" i="3"/>
  <c r="BK27" i="3"/>
  <c r="BK26" i="3"/>
  <c r="BK25" i="3"/>
  <c r="BK24" i="3"/>
  <c r="BK23" i="3"/>
  <c r="BK22" i="3"/>
  <c r="BK21" i="3"/>
  <c r="BK20" i="3"/>
  <c r="BK19" i="3"/>
  <c r="BK17" i="3"/>
  <c r="BK16" i="3"/>
  <c r="BK15" i="3"/>
  <c r="BK14" i="3"/>
  <c r="BK13" i="3"/>
  <c r="BK11" i="3"/>
  <c r="AC82" i="3"/>
  <c r="AC69" i="3"/>
  <c r="AC12" i="3"/>
  <c r="AC32" i="3" s="1"/>
  <c r="AC44" i="3" s="1"/>
  <c r="AC48" i="3" s="1"/>
  <c r="AF85" i="3" l="1"/>
  <c r="AF87" i="3" s="1"/>
  <c r="AG85" i="3"/>
  <c r="AD106" i="2"/>
  <c r="AC83" i="3"/>
  <c r="AC87" i="3" s="1"/>
  <c r="BK82" i="3"/>
  <c r="BK69" i="3"/>
  <c r="BK12" i="3"/>
  <c r="BK32" i="3" s="1"/>
  <c r="BK44" i="3" s="1"/>
  <c r="BK48" i="3" s="1"/>
  <c r="BK83" i="3" s="1"/>
  <c r="AG87" i="3" l="1"/>
  <c r="AH85" i="3"/>
  <c r="AC99" i="2"/>
  <c r="AC90" i="2"/>
  <c r="AC87" i="2"/>
  <c r="AC75" i="2"/>
  <c r="AC72" i="2"/>
  <c r="AC65" i="2"/>
  <c r="AC45" i="2"/>
  <c r="AC42" i="2"/>
  <c r="AC39" i="2"/>
  <c r="AC34" i="2"/>
  <c r="AC24" i="2"/>
  <c r="AC21" i="2"/>
  <c r="AC18" i="2"/>
  <c r="AG49" i="14"/>
  <c r="AG75" i="14"/>
  <c r="AG63" i="14"/>
  <c r="AG60" i="14"/>
  <c r="AG10" i="14"/>
  <c r="AG13" i="14"/>
  <c r="AG21" i="14"/>
  <c r="AG27" i="14"/>
  <c r="AC11" i="11"/>
  <c r="AC14" i="11" s="1"/>
  <c r="AH87" i="3" l="1"/>
  <c r="AI85" i="3"/>
  <c r="AG78" i="14"/>
  <c r="AG44" i="14" s="1"/>
  <c r="AC19" i="11"/>
  <c r="AC21" i="11" s="1"/>
  <c r="AC71" i="2"/>
  <c r="AC56" i="2"/>
  <c r="AG76" i="14"/>
  <c r="AC86" i="2"/>
  <c r="AC10" i="2"/>
  <c r="AC31" i="2"/>
  <c r="AG16" i="14"/>
  <c r="AG19" i="14" s="1"/>
  <c r="AG26" i="14" s="1"/>
  <c r="AC11" i="12"/>
  <c r="AC14" i="12" s="1"/>
  <c r="AI87" i="3" l="1"/>
  <c r="AJ87" i="3"/>
  <c r="O17" i="16"/>
  <c r="O33" i="16" s="1"/>
  <c r="O34" i="16" s="1"/>
  <c r="P44" i="13"/>
  <c r="O18" i="16" s="1"/>
  <c r="AC19" i="12"/>
  <c r="AC21" i="12" s="1"/>
  <c r="AC70" i="2"/>
  <c r="AC55" i="2"/>
  <c r="AG40" i="14"/>
  <c r="AG42" i="14" s="1"/>
  <c r="AG43" i="14" s="1"/>
  <c r="AG31" i="14"/>
  <c r="AG34" i="14" s="1"/>
  <c r="AC54" i="2"/>
  <c r="AC31" i="10"/>
  <c r="AC11" i="10"/>
  <c r="AC14" i="10" s="1"/>
  <c r="AB11" i="12"/>
  <c r="AB14" i="12" s="1"/>
  <c r="AR11" i="12"/>
  <c r="AQ9" i="12"/>
  <c r="AB11" i="11"/>
  <c r="AB14" i="11" s="1"/>
  <c r="AR11" i="11"/>
  <c r="Z10" i="10"/>
  <c r="AB19" i="12" l="1"/>
  <c r="AB21" i="12" s="1"/>
  <c r="AB19" i="11"/>
  <c r="AB21" i="11" s="1"/>
  <c r="AC19" i="10"/>
  <c r="AC21" i="10" s="1"/>
  <c r="AC106" i="2"/>
  <c r="AR14" i="12"/>
  <c r="AG38" i="14"/>
  <c r="AR14" i="11"/>
  <c r="AB11" i="10"/>
  <c r="AB14" i="10" s="1"/>
  <c r="AB31" i="10"/>
  <c r="AR11" i="10"/>
  <c r="AB26" i="10"/>
  <c r="AB82" i="3"/>
  <c r="AB69" i="3"/>
  <c r="AB12" i="3"/>
  <c r="AB32" i="3" s="1"/>
  <c r="AB44" i="3" s="1"/>
  <c r="AB48" i="3" s="1"/>
  <c r="BJ81" i="3"/>
  <c r="BJ80" i="3"/>
  <c r="BJ79" i="3"/>
  <c r="BJ78" i="3"/>
  <c r="BJ77" i="3"/>
  <c r="BJ76" i="3"/>
  <c r="BJ75" i="3"/>
  <c r="BJ74" i="3"/>
  <c r="BJ73" i="3"/>
  <c r="BJ72" i="3"/>
  <c r="BJ71" i="3"/>
  <c r="BJ68" i="3"/>
  <c r="BJ67" i="3"/>
  <c r="BJ66" i="3"/>
  <c r="BJ65" i="3"/>
  <c r="BJ64" i="3"/>
  <c r="BJ63" i="3"/>
  <c r="BJ62" i="3"/>
  <c r="BJ61" i="3"/>
  <c r="BJ60" i="3"/>
  <c r="BJ59" i="3"/>
  <c r="BJ58" i="3"/>
  <c r="BJ57" i="3"/>
  <c r="BJ55" i="3"/>
  <c r="BJ54" i="3"/>
  <c r="BJ53" i="3"/>
  <c r="BJ52" i="3"/>
  <c r="BJ51" i="3"/>
  <c r="BJ50" i="3"/>
  <c r="BJ47" i="3"/>
  <c r="BJ46" i="3"/>
  <c r="BJ45" i="3"/>
  <c r="BJ43" i="3"/>
  <c r="BJ42" i="3"/>
  <c r="BJ40" i="3"/>
  <c r="BJ39" i="3"/>
  <c r="BJ37" i="3"/>
  <c r="BJ35" i="3"/>
  <c r="BJ34" i="3"/>
  <c r="BJ33" i="3"/>
  <c r="BJ31" i="3"/>
  <c r="BJ30" i="3"/>
  <c r="BJ29" i="3"/>
  <c r="BJ28" i="3"/>
  <c r="BJ27" i="3"/>
  <c r="BJ26" i="3"/>
  <c r="BJ25" i="3"/>
  <c r="BJ24" i="3"/>
  <c r="BJ23" i="3"/>
  <c r="BJ22" i="3"/>
  <c r="BJ21" i="3"/>
  <c r="BJ20" i="3"/>
  <c r="BJ19" i="3"/>
  <c r="BJ17" i="3"/>
  <c r="BJ16" i="3"/>
  <c r="BJ15" i="3"/>
  <c r="BJ14" i="3"/>
  <c r="BJ13" i="3"/>
  <c r="BJ11" i="3"/>
  <c r="N30" i="16"/>
  <c r="N29" i="16"/>
  <c r="AB99" i="2"/>
  <c r="AB90" i="2"/>
  <c r="AB87" i="2"/>
  <c r="AB75" i="2"/>
  <c r="AB72" i="2"/>
  <c r="AB65" i="2"/>
  <c r="AB45" i="2"/>
  <c r="AB42" i="2"/>
  <c r="AB39" i="2"/>
  <c r="AB34" i="2"/>
  <c r="AB24" i="2"/>
  <c r="AB21" i="2"/>
  <c r="AB18" i="2"/>
  <c r="O63" i="13"/>
  <c r="N16" i="16"/>
  <c r="O10" i="13"/>
  <c r="N10" i="16" s="1"/>
  <c r="N17" i="16"/>
  <c r="N33" i="16" s="1"/>
  <c r="AF63" i="14"/>
  <c r="AF60" i="14"/>
  <c r="AF49" i="14"/>
  <c r="AF78" i="14"/>
  <c r="AF44" i="14" s="1"/>
  <c r="AF76" i="14"/>
  <c r="AF10" i="14"/>
  <c r="AF13" i="14"/>
  <c r="AF21" i="14"/>
  <c r="AF27" i="14"/>
  <c r="AB19" i="10" l="1"/>
  <c r="AB21" i="10" s="1"/>
  <c r="AR19" i="12"/>
  <c r="AR19" i="11"/>
  <c r="AB83" i="3"/>
  <c r="AB87" i="3" s="1"/>
  <c r="N23" i="16"/>
  <c r="AB71" i="2"/>
  <c r="N31" i="16" s="1"/>
  <c r="AG59" i="14"/>
  <c r="O27" i="13"/>
  <c r="O49" i="13"/>
  <c r="O60" i="13"/>
  <c r="N15" i="16"/>
  <c r="O13" i="13"/>
  <c r="O16" i="13" s="1"/>
  <c r="O19" i="13" s="1"/>
  <c r="AR14" i="10"/>
  <c r="BJ82" i="3"/>
  <c r="BJ69" i="3"/>
  <c r="BJ12" i="3"/>
  <c r="BJ32" i="3" s="1"/>
  <c r="BJ44" i="3" s="1"/>
  <c r="BJ48" i="3" s="1"/>
  <c r="AB86" i="2"/>
  <c r="N32" i="16" s="1"/>
  <c r="AB56" i="2"/>
  <c r="AB55" i="2" s="1"/>
  <c r="N28" i="16" s="1"/>
  <c r="N34" i="16" s="1"/>
  <c r="AB31" i="2"/>
  <c r="N27" i="16" s="1"/>
  <c r="AB10" i="2"/>
  <c r="O44" i="13"/>
  <c r="N18" i="16" s="1"/>
  <c r="AF16" i="14"/>
  <c r="AF19" i="14" s="1"/>
  <c r="AF26" i="14" s="1"/>
  <c r="AF40" i="14" s="1"/>
  <c r="AF42" i="14" s="1"/>
  <c r="AF43" i="14" s="1"/>
  <c r="AR19" i="10" l="1"/>
  <c r="N26" i="16"/>
  <c r="N25" i="16" s="1"/>
  <c r="AR21" i="12"/>
  <c r="AR21" i="11"/>
  <c r="BJ83" i="3"/>
  <c r="AB70" i="2"/>
  <c r="AB106" i="2" s="1"/>
  <c r="AB54" i="2"/>
  <c r="AF31" i="14" a="1"/>
  <c r="AF31" i="14" s="1"/>
  <c r="AF34" i="14" s="1"/>
  <c r="AF38" i="14" s="1"/>
  <c r="AF59" i="14" s="1"/>
  <c r="AQ105" i="2"/>
  <c r="AQ104" i="2"/>
  <c r="AQ103" i="2"/>
  <c r="AQ102" i="2"/>
  <c r="AQ101" i="2"/>
  <c r="AQ100" i="2"/>
  <c r="AQ98" i="2"/>
  <c r="AQ97" i="2"/>
  <c r="AQ93" i="2"/>
  <c r="AQ92" i="2"/>
  <c r="AQ91" i="2"/>
  <c r="AQ89" i="2"/>
  <c r="AQ88" i="2"/>
  <c r="AQ85" i="2"/>
  <c r="AQ84" i="2"/>
  <c r="AQ83" i="2"/>
  <c r="AQ82" i="2"/>
  <c r="AQ78" i="2"/>
  <c r="AQ77" i="2"/>
  <c r="AQ76" i="2"/>
  <c r="AQ74" i="2"/>
  <c r="AQ73" i="2"/>
  <c r="AQ69" i="2"/>
  <c r="AQ68" i="2"/>
  <c r="AQ67" i="2"/>
  <c r="AQ66" i="2"/>
  <c r="AQ64" i="2"/>
  <c r="AQ62" i="2"/>
  <c r="AQ61" i="2"/>
  <c r="AQ60" i="2"/>
  <c r="AQ59" i="2"/>
  <c r="AQ58" i="2"/>
  <c r="AQ57" i="2"/>
  <c r="AQ53" i="2"/>
  <c r="AQ50" i="2"/>
  <c r="AQ49" i="2"/>
  <c r="AQ48" i="2"/>
  <c r="AQ47" i="2"/>
  <c r="AQ46" i="2"/>
  <c r="AQ44" i="2"/>
  <c r="AQ43" i="2"/>
  <c r="AQ41" i="2"/>
  <c r="AQ40" i="2"/>
  <c r="AQ38" i="2"/>
  <c r="AQ37" i="2"/>
  <c r="AQ36" i="2"/>
  <c r="AQ35" i="2"/>
  <c r="AQ33" i="2"/>
  <c r="AQ32" i="2"/>
  <c r="AQ30" i="2"/>
  <c r="AQ27" i="2"/>
  <c r="AQ26" i="2"/>
  <c r="AQ25" i="2"/>
  <c r="AQ23" i="2"/>
  <c r="AQ22" i="2"/>
  <c r="AQ20" i="2"/>
  <c r="AQ19" i="2"/>
  <c r="AQ17" i="2"/>
  <c r="AQ16" i="2"/>
  <c r="AQ15" i="2"/>
  <c r="AQ14" i="2"/>
  <c r="AQ13" i="2"/>
  <c r="AQ12" i="2"/>
  <c r="AQ11" i="2"/>
  <c r="AR21" i="10" l="1"/>
  <c r="AA82" i="3"/>
  <c r="M22" i="16" s="1"/>
  <c r="AA69" i="3"/>
  <c r="M21" i="16" s="1"/>
  <c r="AA12" i="3"/>
  <c r="AA32" i="3" s="1"/>
  <c r="AA44" i="3" s="1"/>
  <c r="AA48" i="3" s="1"/>
  <c r="M20" i="16" s="1"/>
  <c r="AA99" i="2"/>
  <c r="AQ99" i="2" s="1"/>
  <c r="AA90" i="2"/>
  <c r="AQ90" i="2" s="1"/>
  <c r="AA87" i="2"/>
  <c r="AQ87" i="2" s="1"/>
  <c r="AA75" i="2"/>
  <c r="AQ75" i="2" s="1"/>
  <c r="AA72" i="2"/>
  <c r="AA65" i="2"/>
  <c r="AA45" i="2"/>
  <c r="AQ45" i="2" s="1"/>
  <c r="AA42" i="2"/>
  <c r="AQ42" i="2" s="1"/>
  <c r="AA39" i="2"/>
  <c r="AQ39" i="2" s="1"/>
  <c r="AA34" i="2"/>
  <c r="AQ34" i="2" s="1"/>
  <c r="AA24" i="2"/>
  <c r="AQ24" i="2" s="1"/>
  <c r="AA21" i="2"/>
  <c r="AQ21" i="2" s="1"/>
  <c r="AA18" i="2"/>
  <c r="AQ18" i="2" s="1"/>
  <c r="N78" i="13"/>
  <c r="AA10" i="2" l="1"/>
  <c r="AQ10" i="2" s="1"/>
  <c r="AA71" i="2"/>
  <c r="AQ71" i="2" s="1"/>
  <c r="AQ72" i="2"/>
  <c r="AA56" i="2"/>
  <c r="AQ56" i="2" s="1"/>
  <c r="AQ65" i="2"/>
  <c r="AA83" i="3"/>
  <c r="AA87" i="3" s="1"/>
  <c r="AA86" i="2"/>
  <c r="AQ86" i="2" s="1"/>
  <c r="AA31" i="2"/>
  <c r="AA55" i="2" l="1"/>
  <c r="AQ55" i="2" s="1"/>
  <c r="AA70" i="2"/>
  <c r="AQ70" i="2" s="1"/>
  <c r="AA54" i="2"/>
  <c r="AQ54" i="2" s="1"/>
  <c r="AQ31" i="2"/>
  <c r="AQ20" i="12"/>
  <c r="AQ18" i="12"/>
  <c r="AQ17" i="12"/>
  <c r="AQ13" i="12"/>
  <c r="AQ12" i="12"/>
  <c r="AQ10" i="12"/>
  <c r="AA11" i="12"/>
  <c r="AA14" i="12" s="1"/>
  <c r="AQ20" i="11"/>
  <c r="AQ18" i="11"/>
  <c r="AQ17" i="11"/>
  <c r="AQ16" i="11"/>
  <c r="AQ13" i="11"/>
  <c r="AQ12" i="11"/>
  <c r="AQ10" i="11"/>
  <c r="AQ9" i="11"/>
  <c r="AA11" i="11"/>
  <c r="AA14" i="11" s="1"/>
  <c r="AA31" i="10"/>
  <c r="AA11" i="10"/>
  <c r="AA14" i="10" s="1"/>
  <c r="AQ18" i="10"/>
  <c r="AQ17" i="10"/>
  <c r="AQ16" i="10"/>
  <c r="AQ12" i="10"/>
  <c r="AQ10" i="10"/>
  <c r="AQ9" i="10"/>
  <c r="BI71" i="3"/>
  <c r="BI72" i="3"/>
  <c r="BI73" i="3"/>
  <c r="BI74" i="3"/>
  <c r="BI75" i="3"/>
  <c r="BI76" i="3"/>
  <c r="BI77" i="3"/>
  <c r="BI78" i="3"/>
  <c r="BI79" i="3"/>
  <c r="BI80" i="3"/>
  <c r="BI81" i="3"/>
  <c r="BI50" i="3"/>
  <c r="BI51" i="3"/>
  <c r="BI52" i="3"/>
  <c r="BI53" i="3"/>
  <c r="BI54" i="3"/>
  <c r="BI55" i="3"/>
  <c r="BI57" i="3"/>
  <c r="BI58" i="3"/>
  <c r="BI59" i="3"/>
  <c r="BI60" i="3"/>
  <c r="BI61" i="3"/>
  <c r="BI62" i="3"/>
  <c r="BI63" i="3"/>
  <c r="BI64" i="3"/>
  <c r="BI65" i="3"/>
  <c r="BI66" i="3"/>
  <c r="BI67" i="3"/>
  <c r="BI68" i="3"/>
  <c r="BI11" i="3"/>
  <c r="BI13" i="3"/>
  <c r="BI14" i="3"/>
  <c r="BI15" i="3"/>
  <c r="BI16" i="3"/>
  <c r="BI17" i="3"/>
  <c r="BI19" i="3"/>
  <c r="BI20" i="3"/>
  <c r="BI21" i="3"/>
  <c r="BI22" i="3"/>
  <c r="BI23" i="3"/>
  <c r="BI24" i="3"/>
  <c r="BI25" i="3"/>
  <c r="BI26" i="3"/>
  <c r="BI27" i="3"/>
  <c r="BI28" i="3"/>
  <c r="BI29" i="3"/>
  <c r="BI30" i="3"/>
  <c r="BI31" i="3"/>
  <c r="BI33" i="3"/>
  <c r="BI34" i="3"/>
  <c r="BI35" i="3"/>
  <c r="BI37" i="3"/>
  <c r="BI39" i="3"/>
  <c r="BI40" i="3"/>
  <c r="BI42" i="3"/>
  <c r="BI43" i="3"/>
  <c r="BI45" i="3"/>
  <c r="BI46" i="3"/>
  <c r="BI47" i="3"/>
  <c r="N65" i="13"/>
  <c r="N64" i="13"/>
  <c r="N62" i="13"/>
  <c r="N61" i="13"/>
  <c r="N58" i="13"/>
  <c r="N57" i="13"/>
  <c r="N56" i="13"/>
  <c r="N55" i="13"/>
  <c r="N54" i="13"/>
  <c r="N53" i="13"/>
  <c r="N52" i="13"/>
  <c r="N51" i="13"/>
  <c r="N41" i="13"/>
  <c r="N36" i="13"/>
  <c r="N33" i="13"/>
  <c r="N32" i="13"/>
  <c r="N30" i="13"/>
  <c r="N29" i="13"/>
  <c r="N28" i="13"/>
  <c r="N25" i="13"/>
  <c r="N24" i="13"/>
  <c r="N23" i="13"/>
  <c r="N22" i="13"/>
  <c r="N18" i="13"/>
  <c r="N17" i="13"/>
  <c r="N15" i="13"/>
  <c r="N14" i="13"/>
  <c r="N12" i="13"/>
  <c r="N11" i="13"/>
  <c r="AE49" i="14"/>
  <c r="AA19" i="12" l="1"/>
  <c r="AA21" i="12" s="1"/>
  <c r="AA19" i="11"/>
  <c r="AA21" i="11" s="1"/>
  <c r="AA19" i="10"/>
  <c r="AA21" i="10" s="1"/>
  <c r="BI12" i="3"/>
  <c r="BI32" i="3" s="1"/>
  <c r="BI44" i="3" s="1"/>
  <c r="BI48" i="3" s="1"/>
  <c r="BI69" i="3"/>
  <c r="AA106" i="2"/>
  <c r="AQ106" i="2" s="1"/>
  <c r="BI82" i="3"/>
  <c r="AE63" i="14"/>
  <c r="AE60" i="14"/>
  <c r="AE27" i="14"/>
  <c r="AE21" i="14"/>
  <c r="AE13" i="14"/>
  <c r="AE10" i="14"/>
  <c r="AE76" i="14"/>
  <c r="AE78" i="14"/>
  <c r="AE44" i="14" s="1"/>
  <c r="BI83" i="3" l="1"/>
  <c r="AE16" i="14"/>
  <c r="AE19" i="14" s="1"/>
  <c r="AE26" i="14" s="1"/>
  <c r="AE31" i="14" s="1" a="1"/>
  <c r="AE31" i="14" s="1"/>
  <c r="AE34" i="14" s="1"/>
  <c r="AE38" i="14" s="1"/>
  <c r="AE59" i="14" s="1"/>
  <c r="Z16" i="12"/>
  <c r="AQ16" i="12" s="1"/>
  <c r="Z11" i="12"/>
  <c r="Z14" i="12" s="1"/>
  <c r="Z19" i="12" s="1"/>
  <c r="Z11" i="11"/>
  <c r="Z14" i="11" s="1"/>
  <c r="Z20" i="10"/>
  <c r="AQ20" i="10" s="1"/>
  <c r="Z13" i="10"/>
  <c r="AQ13" i="10" s="1"/>
  <c r="Z19" i="11" l="1"/>
  <c r="Z21" i="11" s="1"/>
  <c r="AE40" i="14"/>
  <c r="AE42" i="14" s="1"/>
  <c r="AE43" i="14" s="1"/>
  <c r="Z21" i="12"/>
  <c r="Z31" i="10" l="1"/>
  <c r="Z11" i="10"/>
  <c r="Z14" i="10" s="1"/>
  <c r="BH81" i="3"/>
  <c r="BH80" i="3"/>
  <c r="BH79" i="3"/>
  <c r="BH78" i="3"/>
  <c r="BH77" i="3"/>
  <c r="BH76" i="3"/>
  <c r="BH75" i="3"/>
  <c r="BH74" i="3"/>
  <c r="BH73" i="3"/>
  <c r="BH72" i="3"/>
  <c r="BH71" i="3"/>
  <c r="BH68" i="3"/>
  <c r="BH67" i="3"/>
  <c r="BH66" i="3"/>
  <c r="BH65" i="3"/>
  <c r="BH64" i="3"/>
  <c r="BH63" i="3"/>
  <c r="BH62" i="3"/>
  <c r="BH61" i="3"/>
  <c r="BH60" i="3"/>
  <c r="BH59" i="3"/>
  <c r="BH58" i="3"/>
  <c r="BH57" i="3"/>
  <c r="BH55" i="3"/>
  <c r="BH54" i="3"/>
  <c r="BH53" i="3"/>
  <c r="BH52" i="3"/>
  <c r="BH51" i="3"/>
  <c r="BH50" i="3"/>
  <c r="BH47" i="3"/>
  <c r="BH46" i="3"/>
  <c r="BH45" i="3"/>
  <c r="BH43" i="3"/>
  <c r="BH42" i="3"/>
  <c r="BH40" i="3"/>
  <c r="BH39" i="3"/>
  <c r="BH37" i="3"/>
  <c r="BH35" i="3"/>
  <c r="BH34" i="3"/>
  <c r="BH33" i="3"/>
  <c r="BH31" i="3"/>
  <c r="BH30" i="3"/>
  <c r="BH29" i="3"/>
  <c r="BH28" i="3"/>
  <c r="BH27" i="3"/>
  <c r="BH26" i="3"/>
  <c r="BH25" i="3"/>
  <c r="BH24" i="3"/>
  <c r="BH23" i="3"/>
  <c r="BH22" i="3"/>
  <c r="BH21" i="3"/>
  <c r="BH20" i="3"/>
  <c r="BH19" i="3"/>
  <c r="BH17" i="3"/>
  <c r="BH16" i="3"/>
  <c r="BH15" i="3"/>
  <c r="BH14" i="3"/>
  <c r="BH13" i="3"/>
  <c r="BH11" i="3"/>
  <c r="Z82" i="3"/>
  <c r="Z69" i="3"/>
  <c r="Z12" i="3"/>
  <c r="Z32" i="3" s="1"/>
  <c r="Z44" i="3" s="1"/>
  <c r="Z48" i="3" s="1"/>
  <c r="Z75" i="2"/>
  <c r="Z99" i="2"/>
  <c r="Z90" i="2"/>
  <c r="Z87" i="2"/>
  <c r="Z72" i="2"/>
  <c r="Z65" i="2"/>
  <c r="Z56" i="2" s="1"/>
  <c r="Z45" i="2"/>
  <c r="Z42" i="2"/>
  <c r="Z39" i="2"/>
  <c r="Z34" i="2"/>
  <c r="Z24" i="2"/>
  <c r="Y21" i="2"/>
  <c r="Z21" i="2"/>
  <c r="Z18" i="2"/>
  <c r="Z19" i="10" l="1"/>
  <c r="Z21" i="10" s="1"/>
  <c r="Z31" i="2"/>
  <c r="Z83" i="3"/>
  <c r="Z87" i="3" s="1"/>
  <c r="BH69" i="3"/>
  <c r="BH12" i="3"/>
  <c r="BH32" i="3" s="1"/>
  <c r="BH44" i="3" s="1"/>
  <c r="BH48" i="3" s="1"/>
  <c r="BH83" i="3" s="1"/>
  <c r="BH82" i="3"/>
  <c r="Z86" i="2"/>
  <c r="Z10" i="2"/>
  <c r="Z71" i="2"/>
  <c r="Z55" i="2"/>
  <c r="AC76" i="14"/>
  <c r="AD76" i="14"/>
  <c r="AD78" i="14"/>
  <c r="AD44" i="14" s="1"/>
  <c r="AD63" i="14"/>
  <c r="AD60" i="14"/>
  <c r="AD49" i="14"/>
  <c r="AD27" i="14"/>
  <c r="AD21" i="14"/>
  <c r="AD13" i="14"/>
  <c r="AD10" i="14"/>
  <c r="Z54" i="2" l="1"/>
  <c r="Z70" i="2"/>
  <c r="AD16" i="14"/>
  <c r="AD19" i="14" s="1"/>
  <c r="AD26" i="14" s="1"/>
  <c r="AD40" i="14" s="1"/>
  <c r="AD42" i="14" s="1"/>
  <c r="AD43" i="14" s="1"/>
  <c r="AC78" i="14"/>
  <c r="Y11" i="11"/>
  <c r="Y14" i="11" s="1"/>
  <c r="Y31" i="10"/>
  <c r="Y19" i="11" l="1"/>
  <c r="Y21" i="11" s="1"/>
  <c r="Z106" i="2"/>
  <c r="AD31" i="14" a="1"/>
  <c r="AD31" i="14" s="1"/>
  <c r="AD34" i="14" s="1"/>
  <c r="AD38" i="14" s="1"/>
  <c r="AD59" i="14" s="1"/>
  <c r="Y11" i="12"/>
  <c r="Y14" i="12" s="1"/>
  <c r="Y11" i="10"/>
  <c r="Y14" i="10" s="1"/>
  <c r="Y19" i="12" l="1"/>
  <c r="Y21" i="12" s="1"/>
  <c r="Y19" i="10"/>
  <c r="Y21" i="10" s="1"/>
  <c r="BE81" i="3"/>
  <c r="BE80" i="3"/>
  <c r="BE79" i="3"/>
  <c r="BE78" i="3"/>
  <c r="BE77" i="3"/>
  <c r="BE76" i="3"/>
  <c r="BE75" i="3"/>
  <c r="BE74" i="3"/>
  <c r="BE73" i="3"/>
  <c r="BE72" i="3"/>
  <c r="BE71" i="3"/>
  <c r="BE68" i="3"/>
  <c r="BE67" i="3"/>
  <c r="BE66" i="3"/>
  <c r="BE65" i="3"/>
  <c r="BE64" i="3"/>
  <c r="BE63" i="3"/>
  <c r="BE62" i="3"/>
  <c r="BE61" i="3"/>
  <c r="BE60" i="3"/>
  <c r="BE59" i="3"/>
  <c r="BE58" i="3"/>
  <c r="BE57" i="3"/>
  <c r="BE55" i="3"/>
  <c r="BE54" i="3"/>
  <c r="BE53" i="3"/>
  <c r="BE52" i="3"/>
  <c r="BE51" i="3"/>
  <c r="BE50" i="3"/>
  <c r="BE47" i="3"/>
  <c r="BE46" i="3"/>
  <c r="BE45" i="3"/>
  <c r="BE43" i="3"/>
  <c r="BE42" i="3"/>
  <c r="BE40" i="3"/>
  <c r="BE39" i="3"/>
  <c r="BE37" i="3"/>
  <c r="BE35" i="3"/>
  <c r="BE34" i="3"/>
  <c r="BE33" i="3"/>
  <c r="BE31" i="3"/>
  <c r="BE30" i="3"/>
  <c r="BE29" i="3"/>
  <c r="BE28" i="3"/>
  <c r="BE27" i="3"/>
  <c r="BE26" i="3"/>
  <c r="BE25" i="3"/>
  <c r="BE24" i="3"/>
  <c r="BE23" i="3"/>
  <c r="BE22" i="3"/>
  <c r="BE21" i="3"/>
  <c r="BE20" i="3"/>
  <c r="BE19" i="3"/>
  <c r="BE17" i="3"/>
  <c r="BE16" i="3"/>
  <c r="BE15" i="3"/>
  <c r="BE14" i="3"/>
  <c r="BE13" i="3"/>
  <c r="BG81" i="3"/>
  <c r="BG80" i="3"/>
  <c r="BG79" i="3"/>
  <c r="BG78" i="3"/>
  <c r="BG77" i="3"/>
  <c r="BG76" i="3"/>
  <c r="BG75" i="3"/>
  <c r="BG74" i="3"/>
  <c r="BG73" i="3"/>
  <c r="BG72" i="3"/>
  <c r="BG71" i="3"/>
  <c r="BG68" i="3"/>
  <c r="BG67" i="3"/>
  <c r="BG66" i="3"/>
  <c r="BG65" i="3"/>
  <c r="BG64" i="3"/>
  <c r="BG63" i="3"/>
  <c r="BG62" i="3"/>
  <c r="BG61" i="3"/>
  <c r="BG60" i="3"/>
  <c r="BG59" i="3"/>
  <c r="BG58" i="3"/>
  <c r="BG57" i="3"/>
  <c r="BG55" i="3"/>
  <c r="BG54" i="3"/>
  <c r="BG53" i="3"/>
  <c r="BG52" i="3"/>
  <c r="BG51" i="3"/>
  <c r="BG50" i="3"/>
  <c r="BG47" i="3"/>
  <c r="BG46" i="3"/>
  <c r="BG45" i="3"/>
  <c r="BG43" i="3"/>
  <c r="BG42" i="3"/>
  <c r="BG40" i="3"/>
  <c r="BG39" i="3"/>
  <c r="BG37" i="3"/>
  <c r="BG35" i="3"/>
  <c r="BG34" i="3"/>
  <c r="BG33" i="3"/>
  <c r="BG31" i="3"/>
  <c r="BG30" i="3"/>
  <c r="BG29" i="3"/>
  <c r="BG28" i="3"/>
  <c r="BG27" i="3"/>
  <c r="BG26" i="3"/>
  <c r="BG25" i="3"/>
  <c r="BG24" i="3"/>
  <c r="BG23" i="3"/>
  <c r="BG22" i="3"/>
  <c r="BG21" i="3"/>
  <c r="BG20" i="3"/>
  <c r="BG19" i="3"/>
  <c r="BG17" i="3"/>
  <c r="BG16" i="3"/>
  <c r="BG15" i="3"/>
  <c r="BG14" i="3"/>
  <c r="BG13" i="3"/>
  <c r="BG11" i="3"/>
  <c r="Y82" i="3"/>
  <c r="Y69" i="3"/>
  <c r="Y12" i="3"/>
  <c r="Y32" i="3" s="1"/>
  <c r="Y44" i="3" s="1"/>
  <c r="Y48" i="3" s="1"/>
  <c r="Y99" i="2"/>
  <c r="Y90" i="2"/>
  <c r="Y87" i="2"/>
  <c r="Y75" i="2"/>
  <c r="Y72" i="2"/>
  <c r="Y65" i="2"/>
  <c r="Y56" i="2" s="1"/>
  <c r="Y55" i="2" s="1"/>
  <c r="Y45" i="2"/>
  <c r="Y42" i="2"/>
  <c r="Y39" i="2"/>
  <c r="Y34" i="2"/>
  <c r="Y24" i="2"/>
  <c r="Y18" i="2"/>
  <c r="AC63" i="14"/>
  <c r="AC60" i="14"/>
  <c r="AC49" i="14"/>
  <c r="AC44" i="14"/>
  <c r="AC27" i="14"/>
  <c r="AC21" i="14"/>
  <c r="AC13" i="14"/>
  <c r="AC10" i="14"/>
  <c r="Y71" i="2" l="1"/>
  <c r="BG69" i="3"/>
  <c r="BG12" i="3"/>
  <c r="BG32" i="3" s="1"/>
  <c r="BG44" i="3" s="1"/>
  <c r="BG48" i="3" s="1"/>
  <c r="BG83" i="3" s="1"/>
  <c r="BG82" i="3"/>
  <c r="Y83" i="3"/>
  <c r="Y87" i="3" s="1"/>
  <c r="Y10" i="2"/>
  <c r="Y86" i="2"/>
  <c r="Y31" i="2"/>
  <c r="AC16" i="14"/>
  <c r="AC19" i="14" s="1"/>
  <c r="AC26" i="14" s="1"/>
  <c r="AC31" i="14" s="1" a="1"/>
  <c r="AC31" i="14" s="1"/>
  <c r="AC34" i="14" s="1"/>
  <c r="AC38" i="14" s="1"/>
  <c r="AC59" i="14" s="1"/>
  <c r="X11" i="12"/>
  <c r="X14" i="12" s="1"/>
  <c r="AQ11" i="11"/>
  <c r="X11" i="11"/>
  <c r="X14" i="11" s="1"/>
  <c r="AQ11" i="10"/>
  <c r="X31" i="10"/>
  <c r="X19" i="12" l="1"/>
  <c r="X21" i="12" s="1"/>
  <c r="X19" i="11"/>
  <c r="X21" i="11" s="1"/>
  <c r="AQ14" i="10"/>
  <c r="Y70" i="2"/>
  <c r="Y54" i="2"/>
  <c r="AC40" i="14"/>
  <c r="AC42" i="14" s="1"/>
  <c r="AC43" i="14" s="1"/>
  <c r="AQ11" i="12"/>
  <c r="AQ14" i="12" s="1"/>
  <c r="AQ19" i="12" s="1"/>
  <c r="AQ14" i="11"/>
  <c r="AQ19" i="11" l="1"/>
  <c r="AQ21" i="11" s="1"/>
  <c r="AQ19" i="10"/>
  <c r="AQ21" i="12"/>
  <c r="Y106" i="2"/>
  <c r="X11" i="10"/>
  <c r="X14" i="10" s="1"/>
  <c r="X19" i="10" l="1"/>
  <c r="X21" i="10" s="1"/>
  <c r="AQ21" i="10"/>
  <c r="BF81" i="3"/>
  <c r="BF80" i="3"/>
  <c r="BF79" i="3"/>
  <c r="BF78" i="3"/>
  <c r="BF77" i="3"/>
  <c r="BF76" i="3"/>
  <c r="BF75" i="3"/>
  <c r="BF74" i="3"/>
  <c r="BF73" i="3"/>
  <c r="BF72" i="3"/>
  <c r="BF71" i="3"/>
  <c r="BF68" i="3"/>
  <c r="BF67" i="3"/>
  <c r="BF66" i="3"/>
  <c r="BF65" i="3"/>
  <c r="BF64" i="3"/>
  <c r="BF63" i="3"/>
  <c r="BF62" i="3"/>
  <c r="BF61" i="3"/>
  <c r="BF60" i="3"/>
  <c r="BF59" i="3"/>
  <c r="BF58" i="3"/>
  <c r="BF57" i="3"/>
  <c r="BF55" i="3"/>
  <c r="BF54" i="3"/>
  <c r="BF53" i="3"/>
  <c r="BF52" i="3"/>
  <c r="BF51" i="3"/>
  <c r="BF50" i="3"/>
  <c r="BF47" i="3"/>
  <c r="BF46" i="3"/>
  <c r="BF45" i="3"/>
  <c r="BF43" i="3"/>
  <c r="BF42" i="3"/>
  <c r="BF40" i="3"/>
  <c r="BF39" i="3"/>
  <c r="BF37" i="3"/>
  <c r="BF35" i="3"/>
  <c r="BF34" i="3"/>
  <c r="BF33" i="3"/>
  <c r="BF31" i="3"/>
  <c r="BF30" i="3"/>
  <c r="BF29" i="3"/>
  <c r="BF28" i="3"/>
  <c r="BF27" i="3"/>
  <c r="BF26" i="3"/>
  <c r="BF25" i="3"/>
  <c r="BF24" i="3"/>
  <c r="BF23" i="3"/>
  <c r="BF22" i="3"/>
  <c r="BF21" i="3"/>
  <c r="BF20" i="3"/>
  <c r="BF19" i="3"/>
  <c r="BF17" i="3"/>
  <c r="BF16" i="3"/>
  <c r="BF15" i="3"/>
  <c r="BF14" i="3"/>
  <c r="BF13" i="3"/>
  <c r="BF11" i="3"/>
  <c r="X82" i="3"/>
  <c r="X69" i="3"/>
  <c r="X12" i="3"/>
  <c r="X32" i="3" s="1"/>
  <c r="X44" i="3" s="1"/>
  <c r="X48" i="3" s="1"/>
  <c r="U45" i="2"/>
  <c r="V45" i="2"/>
  <c r="W45" i="2"/>
  <c r="X45" i="2"/>
  <c r="X99" i="2"/>
  <c r="X90" i="2"/>
  <c r="X87" i="2"/>
  <c r="X75" i="2"/>
  <c r="X72" i="2"/>
  <c r="X65" i="2"/>
  <c r="X42" i="2"/>
  <c r="X39" i="2"/>
  <c r="X34" i="2"/>
  <c r="X24" i="2"/>
  <c r="X21" i="2"/>
  <c r="X18" i="2"/>
  <c r="M30" i="16"/>
  <c r="M29" i="16"/>
  <c r="AB76" i="14"/>
  <c r="M16" i="16"/>
  <c r="M15" i="16"/>
  <c r="X31" i="2" l="1"/>
  <c r="M27" i="16" s="1"/>
  <c r="BF12" i="3"/>
  <c r="BF32" i="3" s="1"/>
  <c r="BF44" i="3" s="1"/>
  <c r="BF48" i="3" s="1"/>
  <c r="BF69" i="3"/>
  <c r="X83" i="3"/>
  <c r="X87" i="3" s="1"/>
  <c r="M23" i="16"/>
  <c r="BF82" i="3"/>
  <c r="X86" i="2"/>
  <c r="M32" i="16" s="1"/>
  <c r="X56" i="2"/>
  <c r="X55" i="2" s="1"/>
  <c r="M28" i="16" s="1"/>
  <c r="X10" i="2"/>
  <c r="M26" i="16" s="1"/>
  <c r="M25" i="16" s="1"/>
  <c r="X71" i="2"/>
  <c r="M31" i="16" s="1"/>
  <c r="N44" i="13"/>
  <c r="M18" i="16" s="1"/>
  <c r="M17" i="16"/>
  <c r="M33" i="16" s="1"/>
  <c r="N10" i="13"/>
  <c r="M10" i="16" s="1"/>
  <c r="N63" i="13"/>
  <c r="N60" i="13"/>
  <c r="N49" i="13"/>
  <c r="N27" i="13"/>
  <c r="N21" i="13"/>
  <c r="N13" i="13"/>
  <c r="BF83" i="3" l="1"/>
  <c r="M34" i="16"/>
  <c r="X70" i="2"/>
  <c r="X106" i="2" s="1"/>
  <c r="X54" i="2"/>
  <c r="N16" i="13"/>
  <c r="N19" i="13" s="1"/>
  <c r="N26" i="13" s="1"/>
  <c r="N31" i="13" s="1" a="1"/>
  <c r="N31" i="13" s="1"/>
  <c r="N40" i="13" l="1"/>
  <c r="N42" i="13" s="1"/>
  <c r="M11" i="16"/>
  <c r="N34" i="13"/>
  <c r="N38" i="13" s="1"/>
  <c r="M13" i="16"/>
  <c r="AB44" i="14"/>
  <c r="N59" i="13" l="1"/>
  <c r="M14" i="16"/>
  <c r="M12" i="16"/>
  <c r="N43" i="13"/>
  <c r="AB63" i="14"/>
  <c r="AB60" i="14"/>
  <c r="AB49" i="14"/>
  <c r="AB27" i="14"/>
  <c r="AB21" i="14"/>
  <c r="AB13" i="14"/>
  <c r="AB10" i="14"/>
  <c r="AP9" i="12"/>
  <c r="AP20" i="12"/>
  <c r="AP18" i="12"/>
  <c r="AP17" i="12"/>
  <c r="AP16" i="12"/>
  <c r="AP13" i="12"/>
  <c r="AP12" i="12"/>
  <c r="AP10" i="12"/>
  <c r="W11" i="12"/>
  <c r="W14" i="12" s="1"/>
  <c r="W11" i="11"/>
  <c r="W14" i="11" s="1"/>
  <c r="AP20" i="11"/>
  <c r="AP18" i="11"/>
  <c r="AP17" i="11"/>
  <c r="AP16" i="11"/>
  <c r="AP13" i="11"/>
  <c r="AP12" i="11"/>
  <c r="AP10" i="11"/>
  <c r="AP9" i="11"/>
  <c r="W19" i="12" l="1"/>
  <c r="W21" i="12" s="1"/>
  <c r="W19" i="11"/>
  <c r="W21" i="11" s="1"/>
  <c r="AB16" i="14"/>
  <c r="AB19" i="14" s="1"/>
  <c r="AB26" i="14" s="1"/>
  <c r="AB40" i="14" s="1"/>
  <c r="AB42" i="14" s="1"/>
  <c r="AB43" i="14" s="1"/>
  <c r="W31" i="10"/>
  <c r="W11" i="10"/>
  <c r="W14" i="10" s="1"/>
  <c r="AP20" i="10"/>
  <c r="AP18" i="10"/>
  <c r="AP17" i="10"/>
  <c r="AP16" i="10"/>
  <c r="AP13" i="10"/>
  <c r="AP12" i="10"/>
  <c r="AP10" i="10"/>
  <c r="AP9" i="10"/>
  <c r="W26" i="10"/>
  <c r="W82" i="3"/>
  <c r="L22" i="16" s="1"/>
  <c r="W69" i="3"/>
  <c r="L21" i="16" s="1"/>
  <c r="W12" i="3"/>
  <c r="W32" i="3" s="1"/>
  <c r="W44" i="3" s="1"/>
  <c r="W48" i="3" s="1"/>
  <c r="BE11" i="3"/>
  <c r="AP105" i="2"/>
  <c r="AP104" i="2"/>
  <c r="AP103" i="2"/>
  <c r="AP102" i="2"/>
  <c r="AP101" i="2"/>
  <c r="AP100" i="2"/>
  <c r="AP98" i="2"/>
  <c r="AP97" i="2"/>
  <c r="AP93" i="2"/>
  <c r="AP92" i="2"/>
  <c r="AP91" i="2"/>
  <c r="AP89" i="2"/>
  <c r="AP88" i="2"/>
  <c r="AP85" i="2"/>
  <c r="AP84" i="2"/>
  <c r="AP83" i="2"/>
  <c r="AP82" i="2"/>
  <c r="AP78" i="2"/>
  <c r="AP77" i="2"/>
  <c r="AP76" i="2"/>
  <c r="AP74" i="2"/>
  <c r="AP73" i="2"/>
  <c r="AP69" i="2"/>
  <c r="AP68" i="2"/>
  <c r="AP67" i="2"/>
  <c r="AP66" i="2"/>
  <c r="AP64" i="2"/>
  <c r="AP62" i="2"/>
  <c r="AP61" i="2"/>
  <c r="AP60" i="2"/>
  <c r="AP59" i="2"/>
  <c r="AP58" i="2"/>
  <c r="AP57" i="2"/>
  <c r="AP53" i="2"/>
  <c r="AP50" i="2"/>
  <c r="AP49" i="2"/>
  <c r="AP48" i="2"/>
  <c r="AP47" i="2"/>
  <c r="AP46" i="2"/>
  <c r="AP45" i="2"/>
  <c r="AP44" i="2"/>
  <c r="AP43" i="2"/>
  <c r="AP41" i="2"/>
  <c r="AP40" i="2"/>
  <c r="AP38" i="2"/>
  <c r="AP37" i="2"/>
  <c r="AP36" i="2"/>
  <c r="AP35" i="2"/>
  <c r="AP33" i="2"/>
  <c r="AP32" i="2"/>
  <c r="AP30" i="2"/>
  <c r="AP27" i="2"/>
  <c r="AP26" i="2"/>
  <c r="AP25" i="2"/>
  <c r="AP23" i="2"/>
  <c r="AP22" i="2"/>
  <c r="AP20" i="2"/>
  <c r="AP19" i="2"/>
  <c r="AP17" i="2"/>
  <c r="AP16" i="2"/>
  <c r="AP15" i="2"/>
  <c r="AP14" i="2"/>
  <c r="AP13" i="2"/>
  <c r="AP12" i="2"/>
  <c r="AP11" i="2"/>
  <c r="W19" i="10" l="1"/>
  <c r="W21" i="10" s="1"/>
  <c r="AB31" i="14" a="1"/>
  <c r="AB31" i="14" s="1"/>
  <c r="AB34" i="14" s="1"/>
  <c r="AB38" i="14" s="1"/>
  <c r="AB59" i="14" s="1"/>
  <c r="BE69" i="3"/>
  <c r="BE82" i="3"/>
  <c r="W83" i="3"/>
  <c r="W87" i="3" s="1"/>
  <c r="L20" i="16"/>
  <c r="BE12" i="3"/>
  <c r="BE32" i="3" s="1"/>
  <c r="BE44" i="3" s="1"/>
  <c r="BE48" i="3" s="1"/>
  <c r="W18" i="2"/>
  <c r="AP18" i="2" s="1"/>
  <c r="W21" i="2"/>
  <c r="AP21" i="2" s="1"/>
  <c r="W24" i="2"/>
  <c r="AP24" i="2" s="1"/>
  <c r="W34" i="2"/>
  <c r="AP34" i="2" s="1"/>
  <c r="W39" i="2"/>
  <c r="AP39" i="2" s="1"/>
  <c r="W42" i="2"/>
  <c r="AP42" i="2" s="1"/>
  <c r="W65" i="2"/>
  <c r="W72" i="2"/>
  <c r="AP72" i="2" s="1"/>
  <c r="W75" i="2"/>
  <c r="AP75" i="2" s="1"/>
  <c r="W87" i="2"/>
  <c r="AP87" i="2" s="1"/>
  <c r="W90" i="2"/>
  <c r="AP90" i="2" s="1"/>
  <c r="W99" i="2"/>
  <c r="AP99" i="2" s="1"/>
  <c r="M65" i="13"/>
  <c r="M64" i="13"/>
  <c r="M62" i="13"/>
  <c r="M61" i="13"/>
  <c r="M58" i="13"/>
  <c r="M57" i="13"/>
  <c r="M56" i="13"/>
  <c r="M55" i="13"/>
  <c r="M54" i="13"/>
  <c r="M53" i="13"/>
  <c r="M52" i="13"/>
  <c r="M51" i="13"/>
  <c r="M41" i="13"/>
  <c r="M36" i="13"/>
  <c r="M33" i="13"/>
  <c r="M32" i="13"/>
  <c r="M30" i="13"/>
  <c r="M29" i="13"/>
  <c r="M28" i="13"/>
  <c r="M25" i="13"/>
  <c r="M24" i="13"/>
  <c r="M23" i="13"/>
  <c r="M22" i="13"/>
  <c r="M18" i="13"/>
  <c r="M17" i="13"/>
  <c r="M15" i="13"/>
  <c r="M14" i="13"/>
  <c r="M12" i="13"/>
  <c r="M11" i="13"/>
  <c r="BE83" i="3" l="1"/>
  <c r="W86" i="2"/>
  <c r="AP86" i="2" s="1"/>
  <c r="W56" i="2"/>
  <c r="W55" i="2" s="1"/>
  <c r="AP55" i="2" s="1"/>
  <c r="AP65" i="2"/>
  <c r="W71" i="2"/>
  <c r="W31" i="2"/>
  <c r="AP31" i="2" s="1"/>
  <c r="W10" i="2"/>
  <c r="AP10" i="2" s="1"/>
  <c r="AP56" i="2" l="1"/>
  <c r="W70" i="2"/>
  <c r="AP70" i="2" s="1"/>
  <c r="AP71" i="2"/>
  <c r="W54" i="2"/>
  <c r="AP54" i="2" s="1"/>
  <c r="AA75" i="14"/>
  <c r="M78" i="13" s="1"/>
  <c r="W106" i="2" l="1"/>
  <c r="AP106" i="2" s="1"/>
  <c r="AA76" i="14"/>
  <c r="AA63" i="14"/>
  <c r="AA60" i="14"/>
  <c r="AA49" i="14"/>
  <c r="AA10" i="14" l="1"/>
  <c r="AA13" i="14"/>
  <c r="AA21" i="14"/>
  <c r="AA27" i="14"/>
  <c r="AA44" i="14"/>
  <c r="AA16" i="14" l="1"/>
  <c r="AA19" i="14" s="1"/>
  <c r="AA26" i="14" s="1"/>
  <c r="AA31" i="14" l="1" a="1"/>
  <c r="AA31" i="14" s="1"/>
  <c r="AA34" i="14" s="1"/>
  <c r="AA38" i="14" s="1"/>
  <c r="AA59" i="14" s="1"/>
  <c r="AA40" i="14"/>
  <c r="AA42" i="14" s="1"/>
  <c r="AA43" i="14" s="1"/>
  <c r="V11" i="11" l="1"/>
  <c r="V14" i="11" s="1"/>
  <c r="V11" i="12"/>
  <c r="V14" i="12" s="1"/>
  <c r="V19" i="12" l="1"/>
  <c r="V21" i="12" s="1"/>
  <c r="V19" i="11"/>
  <c r="V21" i="11" s="1"/>
  <c r="V31" i="10"/>
  <c r="V11" i="10"/>
  <c r="V14" i="10" s="1"/>
  <c r="V26" i="10"/>
  <c r="V19" i="10" l="1"/>
  <c r="V21" i="10" s="1"/>
  <c r="BD71" i="3"/>
  <c r="BD72" i="3"/>
  <c r="BD73" i="3"/>
  <c r="BD74" i="3"/>
  <c r="BD75" i="3"/>
  <c r="BD76" i="3"/>
  <c r="BD77" i="3"/>
  <c r="BD78" i="3"/>
  <c r="BD79" i="3"/>
  <c r="BD80" i="3"/>
  <c r="BD81" i="3"/>
  <c r="BD50" i="3"/>
  <c r="BD51" i="3"/>
  <c r="BD52" i="3"/>
  <c r="BD53" i="3"/>
  <c r="BD54" i="3"/>
  <c r="BD55" i="3"/>
  <c r="BD57" i="3"/>
  <c r="BD58" i="3"/>
  <c r="BD59" i="3"/>
  <c r="BD60" i="3"/>
  <c r="BD61" i="3"/>
  <c r="BD62" i="3"/>
  <c r="BD63" i="3"/>
  <c r="BD64" i="3"/>
  <c r="BD65" i="3"/>
  <c r="BD66" i="3"/>
  <c r="BD67" i="3"/>
  <c r="BD68" i="3"/>
  <c r="BD11" i="3"/>
  <c r="BD13" i="3"/>
  <c r="BD14" i="3"/>
  <c r="BD15" i="3"/>
  <c r="BD16" i="3"/>
  <c r="BD17" i="3"/>
  <c r="BD19" i="3"/>
  <c r="BD20" i="3"/>
  <c r="BD22" i="3"/>
  <c r="BD23" i="3"/>
  <c r="BD24" i="3"/>
  <c r="BD25" i="3"/>
  <c r="BD26" i="3"/>
  <c r="BD27" i="3"/>
  <c r="BD28" i="3"/>
  <c r="BD29" i="3"/>
  <c r="BD30" i="3"/>
  <c r="BD31" i="3"/>
  <c r="BD33" i="3"/>
  <c r="BD34" i="3"/>
  <c r="BD35" i="3"/>
  <c r="BD37" i="3"/>
  <c r="BD39" i="3"/>
  <c r="BD40" i="3"/>
  <c r="BD42" i="3"/>
  <c r="BD43" i="3"/>
  <c r="BD45" i="3"/>
  <c r="BD46" i="3"/>
  <c r="BD47" i="3"/>
  <c r="V82" i="3"/>
  <c r="V69" i="3"/>
  <c r="V12" i="3"/>
  <c r="V32" i="3" s="1"/>
  <c r="V44" i="3" s="1"/>
  <c r="V48" i="3" s="1"/>
  <c r="Z75" i="14"/>
  <c r="Z76" i="14" s="1"/>
  <c r="L29" i="16"/>
  <c r="L30" i="16"/>
  <c r="V99" i="2"/>
  <c r="V90" i="2"/>
  <c r="V87" i="2"/>
  <c r="V75" i="2"/>
  <c r="V72" i="2"/>
  <c r="V65" i="2"/>
  <c r="V56" i="2" s="1"/>
  <c r="V55" i="2" s="1"/>
  <c r="L28" i="16" s="1"/>
  <c r="V42" i="2"/>
  <c r="V39" i="2"/>
  <c r="V34" i="2"/>
  <c r="V24" i="2"/>
  <c r="V21" i="2"/>
  <c r="V18" i="2"/>
  <c r="V86" i="2" l="1"/>
  <c r="L32" i="16" s="1"/>
  <c r="V83" i="3"/>
  <c r="V87" i="3" s="1"/>
  <c r="BD82" i="3"/>
  <c r="V10" i="2"/>
  <c r="L26" i="16" s="1"/>
  <c r="V31" i="2"/>
  <c r="L27" i="16" s="1"/>
  <c r="BD69" i="3"/>
  <c r="BD12" i="3"/>
  <c r="BD32" i="3" s="1"/>
  <c r="BD44" i="3" s="1"/>
  <c r="BD48" i="3" s="1"/>
  <c r="BD83" i="3" s="1"/>
  <c r="V71" i="2"/>
  <c r="V54" i="2" l="1"/>
  <c r="V70" i="2"/>
  <c r="L31" i="16"/>
  <c r="Z63" i="14"/>
  <c r="Z60" i="14"/>
  <c r="Z49" i="14"/>
  <c r="Z44" i="14"/>
  <c r="Z27" i="14"/>
  <c r="Z21" i="14"/>
  <c r="Z13" i="14"/>
  <c r="Z10" i="14"/>
  <c r="U11" i="11"/>
  <c r="U14" i="11" s="1"/>
  <c r="U11" i="12"/>
  <c r="U14" i="12" s="1"/>
  <c r="U19" i="12" l="1"/>
  <c r="U21" i="12" s="1"/>
  <c r="U19" i="11"/>
  <c r="U21" i="11" s="1"/>
  <c r="V106" i="2"/>
  <c r="Z16" i="14"/>
  <c r="Z19" i="14" s="1"/>
  <c r="Z26" i="14" s="1"/>
  <c r="Z40" i="14" s="1"/>
  <c r="Z42" i="14" s="1"/>
  <c r="Z43" i="14" s="1"/>
  <c r="U11" i="10"/>
  <c r="U14" i="10" s="1"/>
  <c r="U31" i="10"/>
  <c r="AL85" i="3"/>
  <c r="AX29" i="3"/>
  <c r="AX28" i="3"/>
  <c r="AT29" i="3"/>
  <c r="AT28" i="3"/>
  <c r="AP29" i="3"/>
  <c r="AP28" i="3"/>
  <c r="AM29" i="3"/>
  <c r="AN29" i="3"/>
  <c r="AO29" i="3"/>
  <c r="AQ29" i="3"/>
  <c r="AR29" i="3"/>
  <c r="AS29" i="3"/>
  <c r="AU29" i="3"/>
  <c r="AV29" i="3"/>
  <c r="AW29" i="3"/>
  <c r="AY29" i="3"/>
  <c r="AZ29" i="3"/>
  <c r="BA29" i="3"/>
  <c r="BB29" i="3"/>
  <c r="BC29" i="3"/>
  <c r="BC81" i="3"/>
  <c r="BC80" i="3"/>
  <c r="BC79" i="3"/>
  <c r="BC78" i="3"/>
  <c r="BC77" i="3"/>
  <c r="BC76" i="3"/>
  <c r="BC75" i="3"/>
  <c r="BC74" i="3"/>
  <c r="BC73" i="3"/>
  <c r="BC72" i="3"/>
  <c r="BC71" i="3"/>
  <c r="BC68" i="3"/>
  <c r="BC67" i="3"/>
  <c r="BC66" i="3"/>
  <c r="BC65" i="3"/>
  <c r="BC64" i="3"/>
  <c r="BC63" i="3"/>
  <c r="BC62" i="3"/>
  <c r="BC61" i="3"/>
  <c r="BC60" i="3"/>
  <c r="BC59" i="3"/>
  <c r="BC58" i="3"/>
  <c r="BC57" i="3"/>
  <c r="BC55" i="3"/>
  <c r="BC54" i="3"/>
  <c r="BC53" i="3"/>
  <c r="BC52" i="3"/>
  <c r="BC51" i="3"/>
  <c r="BC50" i="3"/>
  <c r="BC47" i="3"/>
  <c r="BC46" i="3"/>
  <c r="BC45" i="3"/>
  <c r="BC43" i="3"/>
  <c r="BC42" i="3"/>
  <c r="BC40" i="3"/>
  <c r="BC39" i="3"/>
  <c r="BC37" i="3"/>
  <c r="BC35" i="3"/>
  <c r="BC34" i="3"/>
  <c r="BC33" i="3"/>
  <c r="BC31" i="3"/>
  <c r="BC30" i="3"/>
  <c r="BC28" i="3"/>
  <c r="BC27" i="3"/>
  <c r="BC26" i="3"/>
  <c r="BC25" i="3"/>
  <c r="BC24" i="3"/>
  <c r="BC23" i="3"/>
  <c r="BC22" i="3"/>
  <c r="BC20" i="3"/>
  <c r="BC19" i="3"/>
  <c r="BC17" i="3"/>
  <c r="BC16" i="3"/>
  <c r="BC15" i="3"/>
  <c r="BC14" i="3"/>
  <c r="BC13" i="3"/>
  <c r="BC11" i="3"/>
  <c r="U82" i="3"/>
  <c r="U69" i="3"/>
  <c r="U12" i="3"/>
  <c r="U32" i="3" s="1"/>
  <c r="U44" i="3" s="1"/>
  <c r="U48" i="3" s="1"/>
  <c r="U99" i="2"/>
  <c r="U90" i="2"/>
  <c r="U87" i="2"/>
  <c r="U75" i="2"/>
  <c r="U72" i="2"/>
  <c r="U65" i="2"/>
  <c r="U42" i="2"/>
  <c r="U39" i="2"/>
  <c r="U34" i="2"/>
  <c r="U24" i="2"/>
  <c r="U21" i="2"/>
  <c r="U18" i="2"/>
  <c r="Y76" i="14"/>
  <c r="Y44" i="14"/>
  <c r="Y63" i="14"/>
  <c r="Y60" i="14"/>
  <c r="Y49" i="14"/>
  <c r="Y27" i="14"/>
  <c r="Y21" i="14"/>
  <c r="Y13" i="14"/>
  <c r="Y10" i="14"/>
  <c r="T11" i="11"/>
  <c r="T14" i="11" s="1"/>
  <c r="AP11" i="12"/>
  <c r="T11" i="12"/>
  <c r="T14" i="12" s="1"/>
  <c r="T19" i="12" l="1"/>
  <c r="T21" i="12" s="1"/>
  <c r="T19" i="11"/>
  <c r="T21" i="11" s="1"/>
  <c r="U19" i="10"/>
  <c r="U21" i="10" s="1"/>
  <c r="U31" i="2"/>
  <c r="U71" i="2"/>
  <c r="BC82" i="3"/>
  <c r="BC69" i="3"/>
  <c r="Z31" i="14" a="1"/>
  <c r="Z31" i="14" s="1"/>
  <c r="Z34" i="14" s="1"/>
  <c r="Z38" i="14" s="1"/>
  <c r="Z59" i="14" s="1"/>
  <c r="U56" i="2"/>
  <c r="U55" i="2" s="1"/>
  <c r="AP11" i="11"/>
  <c r="AP14" i="11" s="1"/>
  <c r="U83" i="3"/>
  <c r="BC12" i="3"/>
  <c r="BC32" i="3" s="1"/>
  <c r="BC44" i="3" s="1"/>
  <c r="BC48" i="3" s="1"/>
  <c r="U86" i="2"/>
  <c r="U10" i="2"/>
  <c r="Y16" i="14"/>
  <c r="AP14" i="12"/>
  <c r="AP19" i="12" l="1"/>
  <c r="AP21" i="12" s="1"/>
  <c r="AP19" i="11"/>
  <c r="AP21" i="11" s="1"/>
  <c r="BC83" i="3"/>
  <c r="Y19" i="14"/>
  <c r="U70" i="2"/>
  <c r="U54" i="2"/>
  <c r="T31" i="10"/>
  <c r="T11" i="10"/>
  <c r="T14" i="10" s="1"/>
  <c r="L15" i="16"/>
  <c r="L16" i="16"/>
  <c r="BB86" i="3"/>
  <c r="BB81" i="3"/>
  <c r="BB80" i="3"/>
  <c r="BB79" i="3"/>
  <c r="BB78" i="3"/>
  <c r="BB77" i="3"/>
  <c r="BB76" i="3"/>
  <c r="BB75" i="3"/>
  <c r="BB74" i="3"/>
  <c r="BB73" i="3"/>
  <c r="BB72" i="3"/>
  <c r="BB71" i="3"/>
  <c r="BB68" i="3"/>
  <c r="BB67" i="3"/>
  <c r="BB66" i="3"/>
  <c r="BB65" i="3"/>
  <c r="BB64" i="3"/>
  <c r="BB63" i="3"/>
  <c r="BB62" i="3"/>
  <c r="BB61" i="3"/>
  <c r="BB60" i="3"/>
  <c r="BB59" i="3"/>
  <c r="BB58" i="3"/>
  <c r="BB57" i="3"/>
  <c r="BB55" i="3"/>
  <c r="BB54" i="3"/>
  <c r="BB53" i="3"/>
  <c r="BB52" i="3"/>
  <c r="BB51" i="3"/>
  <c r="BB50" i="3"/>
  <c r="BB47" i="3"/>
  <c r="BB46" i="3"/>
  <c r="BB45" i="3"/>
  <c r="BB43" i="3"/>
  <c r="BB42" i="3"/>
  <c r="BB40" i="3"/>
  <c r="BB39" i="3"/>
  <c r="BB37" i="3"/>
  <c r="BB35" i="3"/>
  <c r="BB34" i="3"/>
  <c r="BB33" i="3"/>
  <c r="BB31" i="3"/>
  <c r="BB30" i="3"/>
  <c r="BB28" i="3"/>
  <c r="BB27" i="3"/>
  <c r="BB26" i="3"/>
  <c r="BB25" i="3"/>
  <c r="BB24" i="3"/>
  <c r="BB23" i="3"/>
  <c r="BB22" i="3"/>
  <c r="BB20" i="3"/>
  <c r="BB19" i="3"/>
  <c r="BB17" i="3"/>
  <c r="BB16" i="3"/>
  <c r="BB15" i="3"/>
  <c r="BB14" i="3"/>
  <c r="BB13" i="3"/>
  <c r="BB11" i="3"/>
  <c r="T82" i="3"/>
  <c r="T69" i="3"/>
  <c r="T12" i="3"/>
  <c r="T32" i="3" s="1"/>
  <c r="T44" i="3" s="1"/>
  <c r="T48" i="3" s="1"/>
  <c r="T18" i="2"/>
  <c r="T21" i="2"/>
  <c r="T24" i="2"/>
  <c r="T34" i="2"/>
  <c r="T39" i="2"/>
  <c r="T42" i="2"/>
  <c r="T45" i="2"/>
  <c r="T65" i="2"/>
  <c r="T56" i="2" s="1"/>
  <c r="T72" i="2"/>
  <c r="T75" i="2"/>
  <c r="T87" i="2"/>
  <c r="T90" i="2"/>
  <c r="T99" i="2"/>
  <c r="L17" i="16"/>
  <c r="L33" i="16" s="1"/>
  <c r="X76" i="14"/>
  <c r="M49" i="13"/>
  <c r="M27" i="13"/>
  <c r="M10" i="13"/>
  <c r="M63" i="13"/>
  <c r="M21" i="13"/>
  <c r="M13" i="13"/>
  <c r="X49" i="14"/>
  <c r="T19" i="10" l="1"/>
  <c r="T21" i="10" s="1"/>
  <c r="T10" i="2"/>
  <c r="Y26" i="14"/>
  <c r="L23" i="16"/>
  <c r="BB12" i="3"/>
  <c r="BB32" i="3" s="1"/>
  <c r="BB44" i="3" s="1"/>
  <c r="BB48" i="3" s="1"/>
  <c r="U106" i="2"/>
  <c r="T86" i="2"/>
  <c r="M16" i="13"/>
  <c r="L10" i="16"/>
  <c r="AP11" i="10"/>
  <c r="AP14" i="10" s="1"/>
  <c r="BB82" i="3"/>
  <c r="BB69" i="3"/>
  <c r="T83" i="3"/>
  <c r="T71" i="2"/>
  <c r="T31" i="2"/>
  <c r="T55" i="2"/>
  <c r="M44" i="13"/>
  <c r="L18" i="16" s="1"/>
  <c r="M60" i="13"/>
  <c r="AP19" i="10" l="1"/>
  <c r="AP21" i="10" s="1"/>
  <c r="T70" i="2"/>
  <c r="T106" i="2" s="1"/>
  <c r="Y31" i="14" a="1"/>
  <c r="Y31" i="14" s="1"/>
  <c r="Y40" i="14"/>
  <c r="BB83" i="3"/>
  <c r="L25" i="16"/>
  <c r="M19" i="13"/>
  <c r="T54" i="2"/>
  <c r="L34" i="16"/>
  <c r="X63" i="14"/>
  <c r="X60" i="14"/>
  <c r="X10" i="14"/>
  <c r="X13" i="14"/>
  <c r="X21" i="14"/>
  <c r="X27" i="14"/>
  <c r="X44" i="14"/>
  <c r="O13" i="11"/>
  <c r="S16" i="12"/>
  <c r="S10" i="12"/>
  <c r="O20" i="10"/>
  <c r="O10" i="10"/>
  <c r="S20" i="10"/>
  <c r="S13" i="10"/>
  <c r="Y34" i="14" l="1"/>
  <c r="Y42" i="14"/>
  <c r="M26" i="13"/>
  <c r="X16" i="14"/>
  <c r="X19" i="14" s="1"/>
  <c r="X26" i="14" s="1"/>
  <c r="AL58" i="2"/>
  <c r="AM58" i="2"/>
  <c r="AN58" i="2"/>
  <c r="AO58" i="2"/>
  <c r="AL59" i="2"/>
  <c r="AM59" i="2"/>
  <c r="AN59" i="2"/>
  <c r="AO59" i="2"/>
  <c r="Y43" i="14" l="1"/>
  <c r="Y38" i="14"/>
  <c r="L11" i="16"/>
  <c r="M31" i="13" a="1"/>
  <c r="M31" i="13" s="1"/>
  <c r="M40" i="13"/>
  <c r="M42" i="13" s="1"/>
  <c r="X40" i="14"/>
  <c r="X31" i="14" a="1"/>
  <c r="X31" i="14" s="1"/>
  <c r="W76" i="14"/>
  <c r="X42" i="14" l="1"/>
  <c r="X34" i="14"/>
  <c r="Y59" i="14"/>
  <c r="M43" i="13"/>
  <c r="L12" i="16"/>
  <c r="L13" i="16"/>
  <c r="M34" i="13"/>
  <c r="AO20" i="11"/>
  <c r="AO18" i="11"/>
  <c r="AO17" i="11"/>
  <c r="AO16" i="11"/>
  <c r="AO13" i="11"/>
  <c r="AO12" i="11"/>
  <c r="AO10" i="11"/>
  <c r="AO9" i="11"/>
  <c r="S11" i="11"/>
  <c r="S14" i="11" s="1"/>
  <c r="AO16" i="12"/>
  <c r="S11" i="12"/>
  <c r="S14" i="12" s="1"/>
  <c r="S19" i="12" s="1"/>
  <c r="AO20" i="12"/>
  <c r="AO18" i="12"/>
  <c r="AO17" i="12"/>
  <c r="AO13" i="12"/>
  <c r="AO12" i="12"/>
  <c r="AO10" i="12"/>
  <c r="AO9" i="12"/>
  <c r="S19" i="11" l="1"/>
  <c r="S21" i="11" s="1"/>
  <c r="X38" i="14"/>
  <c r="X43" i="14"/>
  <c r="M38" i="13"/>
  <c r="S21" i="12"/>
  <c r="X59" i="14" l="1"/>
  <c r="M59" i="13"/>
  <c r="L14" i="16"/>
  <c r="AO20" i="10"/>
  <c r="AO18" i="10"/>
  <c r="AO17" i="10"/>
  <c r="AO16" i="10"/>
  <c r="AO13" i="10"/>
  <c r="AO12" i="10"/>
  <c r="AO10" i="10"/>
  <c r="AO9" i="10"/>
  <c r="S31" i="10"/>
  <c r="S11" i="10"/>
  <c r="S14" i="10" s="1"/>
  <c r="BA81" i="3"/>
  <c r="BA80" i="3"/>
  <c r="BA79" i="3"/>
  <c r="BA78" i="3"/>
  <c r="BA77" i="3"/>
  <c r="BA76" i="3"/>
  <c r="BA75" i="3"/>
  <c r="BA74" i="3"/>
  <c r="BA73" i="3"/>
  <c r="BA72" i="3"/>
  <c r="BA71" i="3"/>
  <c r="BA68" i="3"/>
  <c r="BA67" i="3"/>
  <c r="BA66" i="3"/>
  <c r="BA65" i="3"/>
  <c r="BA64" i="3"/>
  <c r="BA63" i="3"/>
  <c r="BA62" i="3"/>
  <c r="BA61" i="3"/>
  <c r="BA60" i="3"/>
  <c r="BA59" i="3"/>
  <c r="BA58" i="3"/>
  <c r="BA57" i="3"/>
  <c r="BA55" i="3"/>
  <c r="BA54" i="3"/>
  <c r="BA53" i="3"/>
  <c r="BA52" i="3"/>
  <c r="BA51" i="3"/>
  <c r="BA50" i="3"/>
  <c r="BA47" i="3"/>
  <c r="BA46" i="3"/>
  <c r="BA45" i="3"/>
  <c r="BA43" i="3"/>
  <c r="BA42" i="3"/>
  <c r="BA40" i="3"/>
  <c r="BA39" i="3"/>
  <c r="BA37" i="3"/>
  <c r="BA35" i="3"/>
  <c r="BA34" i="3"/>
  <c r="BA33" i="3"/>
  <c r="BA31" i="3"/>
  <c r="BA30" i="3"/>
  <c r="BA28" i="3"/>
  <c r="BA27" i="3"/>
  <c r="BA26" i="3"/>
  <c r="BA25" i="3"/>
  <c r="BA24" i="3"/>
  <c r="BA23" i="3"/>
  <c r="BA22" i="3"/>
  <c r="BA20" i="3"/>
  <c r="BA19" i="3"/>
  <c r="BA17" i="3"/>
  <c r="BA16" i="3"/>
  <c r="BA15" i="3"/>
  <c r="BA14" i="3"/>
  <c r="BA13" i="3"/>
  <c r="BA11" i="3"/>
  <c r="S82" i="3"/>
  <c r="S69" i="3"/>
  <c r="S12" i="3"/>
  <c r="S19" i="10" l="1"/>
  <c r="S21" i="10" s="1"/>
  <c r="K22" i="16"/>
  <c r="K21" i="16"/>
  <c r="S32" i="3"/>
  <c r="S44" i="3" s="1"/>
  <c r="BA82" i="3"/>
  <c r="BA69" i="3"/>
  <c r="BA12" i="3"/>
  <c r="BA32" i="3" s="1"/>
  <c r="BA44" i="3" s="1"/>
  <c r="BA48" i="3" s="1"/>
  <c r="BA83" i="3" l="1"/>
  <c r="S48" i="3"/>
  <c r="AO105" i="2"/>
  <c r="AO104" i="2"/>
  <c r="AO103" i="2"/>
  <c r="AO102" i="2"/>
  <c r="AO101" i="2"/>
  <c r="AO100" i="2"/>
  <c r="AO98" i="2"/>
  <c r="AO97" i="2"/>
  <c r="AO93" i="2"/>
  <c r="AO92" i="2"/>
  <c r="AO91" i="2"/>
  <c r="AO89" i="2"/>
  <c r="AO88" i="2"/>
  <c r="AO85" i="2"/>
  <c r="AO84" i="2"/>
  <c r="AO83" i="2"/>
  <c r="AO82" i="2"/>
  <c r="AO78" i="2"/>
  <c r="AO77" i="2"/>
  <c r="AO76" i="2"/>
  <c r="AO74" i="2"/>
  <c r="AO73" i="2"/>
  <c r="AO69" i="2"/>
  <c r="AO68" i="2"/>
  <c r="AO67" i="2"/>
  <c r="AO66" i="2"/>
  <c r="AO64" i="2"/>
  <c r="AO62" i="2"/>
  <c r="AO61" i="2"/>
  <c r="AO60" i="2"/>
  <c r="AO57" i="2"/>
  <c r="AO53" i="2"/>
  <c r="AO50" i="2"/>
  <c r="AO49" i="2"/>
  <c r="AO48" i="2"/>
  <c r="AO47" i="2"/>
  <c r="AO46" i="2"/>
  <c r="AO44" i="2"/>
  <c r="AO43" i="2"/>
  <c r="AO41" i="2"/>
  <c r="AO40" i="2"/>
  <c r="AO38" i="2"/>
  <c r="AO37" i="2"/>
  <c r="AO36" i="2"/>
  <c r="AO35" i="2"/>
  <c r="AO33" i="2"/>
  <c r="AO32" i="2"/>
  <c r="AO30" i="2"/>
  <c r="AO27" i="2"/>
  <c r="AO26" i="2"/>
  <c r="AO25" i="2"/>
  <c r="AO23" i="2"/>
  <c r="AO22" i="2"/>
  <c r="AO20" i="2"/>
  <c r="AO19" i="2"/>
  <c r="AO17" i="2"/>
  <c r="AO16" i="2"/>
  <c r="AO15" i="2"/>
  <c r="AO14" i="2"/>
  <c r="AO13" i="2"/>
  <c r="AO12" i="2"/>
  <c r="AO11" i="2"/>
  <c r="AO8" i="2"/>
  <c r="S99" i="2"/>
  <c r="AO99" i="2" s="1"/>
  <c r="S90" i="2"/>
  <c r="AO90" i="2" s="1"/>
  <c r="S87" i="2"/>
  <c r="S75" i="2"/>
  <c r="S72" i="2"/>
  <c r="AO72" i="2" s="1"/>
  <c r="S65" i="2"/>
  <c r="S56" i="2" s="1"/>
  <c r="S55" i="2" s="1"/>
  <c r="AO55" i="2" s="1"/>
  <c r="S45" i="2"/>
  <c r="AO45" i="2" s="1"/>
  <c r="S42" i="2"/>
  <c r="AO42" i="2" s="1"/>
  <c r="S39" i="2"/>
  <c r="S34" i="2"/>
  <c r="AO34" i="2" s="1"/>
  <c r="S24" i="2"/>
  <c r="AO24" i="2" s="1"/>
  <c r="S21" i="2"/>
  <c r="AO21" i="2" s="1"/>
  <c r="S18" i="2"/>
  <c r="AO18" i="2" s="1"/>
  <c r="S86" i="2" l="1"/>
  <c r="AO86" i="2" s="1"/>
  <c r="S71" i="2"/>
  <c r="AO71" i="2" s="1"/>
  <c r="K20" i="16"/>
  <c r="S83" i="3"/>
  <c r="S10" i="2"/>
  <c r="AO87" i="2"/>
  <c r="AO75" i="2"/>
  <c r="AO65" i="2"/>
  <c r="AO56" i="2"/>
  <c r="S31" i="2"/>
  <c r="AO31" i="2" s="1"/>
  <c r="AO39" i="2"/>
  <c r="AO10" i="2" l="1"/>
  <c r="S70" i="2"/>
  <c r="AO70" i="2" s="1"/>
  <c r="S54" i="2"/>
  <c r="AO54" i="2" s="1"/>
  <c r="S106" i="2" l="1"/>
  <c r="AO106" i="2" s="1"/>
  <c r="L28" i="13"/>
  <c r="L23" i="13"/>
  <c r="L78" i="13"/>
  <c r="L65" i="13"/>
  <c r="L64" i="13"/>
  <c r="L62" i="13"/>
  <c r="L61" i="13"/>
  <c r="L58" i="13"/>
  <c r="L57" i="13"/>
  <c r="L56" i="13"/>
  <c r="L55" i="13"/>
  <c r="L54" i="13"/>
  <c r="L53" i="13"/>
  <c r="L52" i="13"/>
  <c r="L51" i="13"/>
  <c r="L41" i="13"/>
  <c r="L36" i="13"/>
  <c r="L33" i="13"/>
  <c r="L32" i="13"/>
  <c r="L30" i="13"/>
  <c r="L25" i="13"/>
  <c r="L24" i="13"/>
  <c r="L18" i="13"/>
  <c r="L17" i="13"/>
  <c r="L15" i="13"/>
  <c r="L14" i="13"/>
  <c r="L12" i="13"/>
  <c r="L11" i="13"/>
  <c r="W63" i="14" l="1"/>
  <c r="W60" i="14"/>
  <c r="W49" i="14"/>
  <c r="W44" i="14"/>
  <c r="W27" i="14"/>
  <c r="W13" i="14"/>
  <c r="W10" i="14"/>
  <c r="P60" i="2"/>
  <c r="W16" i="14" l="1"/>
  <c r="W19" i="14" s="1"/>
  <c r="R11" i="11"/>
  <c r="R14" i="11" s="1"/>
  <c r="R11" i="12"/>
  <c r="R14" i="12" s="1"/>
  <c r="R19" i="12" s="1"/>
  <c r="R11" i="10"/>
  <c r="R31" i="10"/>
  <c r="R19" i="11" l="1"/>
  <c r="R21" i="11" s="1"/>
  <c r="R14" i="10"/>
  <c r="R19" i="10" s="1"/>
  <c r="R21" i="12" l="1"/>
  <c r="AZ11" i="3"/>
  <c r="AZ13" i="3"/>
  <c r="AZ14" i="3"/>
  <c r="AZ15" i="3"/>
  <c r="AZ16" i="3"/>
  <c r="AZ17" i="3"/>
  <c r="AZ19" i="3"/>
  <c r="AZ20" i="3"/>
  <c r="AZ22" i="3"/>
  <c r="AZ23" i="3"/>
  <c r="AZ24" i="3"/>
  <c r="AZ25" i="3"/>
  <c r="AZ26" i="3"/>
  <c r="AZ27" i="3"/>
  <c r="AZ28" i="3"/>
  <c r="AZ30" i="3"/>
  <c r="AZ31" i="3"/>
  <c r="AZ33" i="3"/>
  <c r="AZ34" i="3"/>
  <c r="AZ35" i="3"/>
  <c r="AZ37" i="3"/>
  <c r="AZ39" i="3"/>
  <c r="AZ40" i="3"/>
  <c r="AZ42" i="3"/>
  <c r="AZ43" i="3"/>
  <c r="AZ45" i="3"/>
  <c r="AZ46" i="3"/>
  <c r="AZ47" i="3"/>
  <c r="AZ50" i="3"/>
  <c r="AZ51" i="3"/>
  <c r="AZ52" i="3"/>
  <c r="AZ53" i="3"/>
  <c r="AZ54" i="3"/>
  <c r="AZ55" i="3"/>
  <c r="AZ57" i="3"/>
  <c r="AZ58" i="3"/>
  <c r="AZ59" i="3"/>
  <c r="AZ60" i="3"/>
  <c r="AZ61" i="3"/>
  <c r="AZ62" i="3"/>
  <c r="AZ63" i="3"/>
  <c r="AZ64" i="3"/>
  <c r="AZ65" i="3"/>
  <c r="AZ66" i="3"/>
  <c r="AZ67" i="3"/>
  <c r="AZ68" i="3"/>
  <c r="AZ71" i="3"/>
  <c r="AZ72" i="3"/>
  <c r="AZ73" i="3"/>
  <c r="AZ74" i="3"/>
  <c r="AZ75" i="3"/>
  <c r="AZ76" i="3"/>
  <c r="AZ77" i="3"/>
  <c r="AZ78" i="3"/>
  <c r="AZ79" i="3"/>
  <c r="AZ80" i="3"/>
  <c r="AZ81" i="3"/>
  <c r="R82" i="3"/>
  <c r="R69" i="3"/>
  <c r="R12" i="3"/>
  <c r="R32" i="3" s="1"/>
  <c r="R44" i="3" s="1"/>
  <c r="R48" i="3" s="1"/>
  <c r="R99" i="2"/>
  <c r="R90" i="2"/>
  <c r="R87" i="2"/>
  <c r="R75" i="2"/>
  <c r="R72" i="2"/>
  <c r="R65" i="2"/>
  <c r="R56" i="2" s="1"/>
  <c r="R55" i="2" s="1"/>
  <c r="R45" i="2"/>
  <c r="R42" i="2"/>
  <c r="R39" i="2"/>
  <c r="R34" i="2"/>
  <c r="R24" i="2"/>
  <c r="R21" i="2"/>
  <c r="R18" i="2"/>
  <c r="AZ69" i="3" l="1"/>
  <c r="AZ82" i="3"/>
  <c r="R21" i="10"/>
  <c r="AZ12" i="3"/>
  <c r="AZ32" i="3" s="1"/>
  <c r="AZ44" i="3" s="1"/>
  <c r="AZ48" i="3" s="1"/>
  <c r="R10" i="2"/>
  <c r="R31" i="2"/>
  <c r="R71" i="2"/>
  <c r="R83" i="3"/>
  <c r="R86" i="2"/>
  <c r="V76" i="14"/>
  <c r="AZ83" i="3" l="1"/>
  <c r="R54" i="2"/>
  <c r="R70" i="2"/>
  <c r="L60" i="13"/>
  <c r="L63" i="13"/>
  <c r="V63" i="14"/>
  <c r="V49" i="14"/>
  <c r="V29" i="14"/>
  <c r="L29" i="13" s="1"/>
  <c r="R106" i="2" l="1"/>
  <c r="L10" i="13"/>
  <c r="L13" i="13"/>
  <c r="L27" i="13"/>
  <c r="L49" i="13"/>
  <c r="V60" i="14"/>
  <c r="V10" i="14" l="1"/>
  <c r="V13" i="14"/>
  <c r="V21" i="14"/>
  <c r="V27" i="14"/>
  <c r="V44" i="14"/>
  <c r="AM46" i="3"/>
  <c r="AN46" i="3"/>
  <c r="AO46" i="3"/>
  <c r="AQ46" i="3"/>
  <c r="AR46" i="3"/>
  <c r="AS46" i="3"/>
  <c r="AU46" i="3"/>
  <c r="AV46" i="3"/>
  <c r="AW46" i="3"/>
  <c r="AY46" i="3"/>
  <c r="AY31" i="3"/>
  <c r="AY30" i="3"/>
  <c r="AY28" i="3"/>
  <c r="AY27" i="3"/>
  <c r="AY26" i="3"/>
  <c r="AY25" i="3"/>
  <c r="AY24" i="3"/>
  <c r="AY23" i="3"/>
  <c r="AY22" i="3"/>
  <c r="AY20" i="3"/>
  <c r="AY19" i="3"/>
  <c r="AY17" i="3"/>
  <c r="AY16" i="3"/>
  <c r="AY15" i="3"/>
  <c r="AY14" i="3"/>
  <c r="V16" i="14" l="1"/>
  <c r="V19" i="14" s="1"/>
  <c r="V26" i="14" s="1"/>
  <c r="Q11" i="11"/>
  <c r="Q14" i="11" s="1"/>
  <c r="Q11" i="12"/>
  <c r="Q14" i="12" s="1"/>
  <c r="Q31" i="10"/>
  <c r="Q11" i="10"/>
  <c r="Q14" i="10" s="1"/>
  <c r="AY81" i="3"/>
  <c r="AY80" i="3"/>
  <c r="AY79" i="3"/>
  <c r="AY78" i="3"/>
  <c r="AY77" i="3"/>
  <c r="AY76" i="3"/>
  <c r="AY75" i="3"/>
  <c r="AY74" i="3"/>
  <c r="AY73" i="3"/>
  <c r="AY72" i="3"/>
  <c r="AY71" i="3"/>
  <c r="AY68" i="3"/>
  <c r="AY67" i="3"/>
  <c r="AY66" i="3"/>
  <c r="AY65" i="3"/>
  <c r="AY64" i="3"/>
  <c r="AY63" i="3"/>
  <c r="AY62" i="3"/>
  <c r="AY61" i="3"/>
  <c r="AY60" i="3"/>
  <c r="AY59" i="3"/>
  <c r="AY58" i="3"/>
  <c r="AY57" i="3"/>
  <c r="AY55" i="3"/>
  <c r="AY54" i="3"/>
  <c r="AY53" i="3"/>
  <c r="AY52" i="3"/>
  <c r="AY51" i="3"/>
  <c r="AY50" i="3"/>
  <c r="AY47" i="3"/>
  <c r="AY45" i="3"/>
  <c r="AY43" i="3"/>
  <c r="AY42" i="3"/>
  <c r="AY40" i="3"/>
  <c r="AY39" i="3"/>
  <c r="AY37" i="3"/>
  <c r="AY35" i="3"/>
  <c r="AY34" i="3"/>
  <c r="AY33" i="3"/>
  <c r="AY13" i="3"/>
  <c r="AY11" i="3"/>
  <c r="Q82" i="3"/>
  <c r="Q69" i="3"/>
  <c r="Q12" i="3"/>
  <c r="Q32" i="3" s="1"/>
  <c r="Q44" i="3" s="1"/>
  <c r="Q48" i="3" s="1"/>
  <c r="Q99" i="2"/>
  <c r="Q90" i="2"/>
  <c r="Q87" i="2"/>
  <c r="Q75" i="2"/>
  <c r="Q72" i="2"/>
  <c r="Q65" i="2"/>
  <c r="Q56" i="2" s="1"/>
  <c r="Q55" i="2" s="1"/>
  <c r="Q45" i="2"/>
  <c r="Q42" i="2"/>
  <c r="Q39" i="2"/>
  <c r="Q34" i="2"/>
  <c r="Q24" i="2"/>
  <c r="Q21" i="2"/>
  <c r="Q18" i="2"/>
  <c r="U76" i="14"/>
  <c r="U63" i="14"/>
  <c r="U60" i="14"/>
  <c r="U49" i="14"/>
  <c r="U10" i="14"/>
  <c r="U13" i="14"/>
  <c r="U21" i="14"/>
  <c r="U27" i="14"/>
  <c r="U44" i="14"/>
  <c r="Q19" i="12" l="1"/>
  <c r="Q21" i="12" s="1"/>
  <c r="Q19" i="11"/>
  <c r="Q21" i="11" s="1"/>
  <c r="Q19" i="10"/>
  <c r="Q21" i="10" s="1"/>
  <c r="AY82" i="3"/>
  <c r="Q71" i="2"/>
  <c r="V31" i="14" a="1"/>
  <c r="V31" i="14" s="1"/>
  <c r="V34" i="14" s="1"/>
  <c r="V38" i="14" s="1"/>
  <c r="V59" i="14" s="1"/>
  <c r="V40" i="14"/>
  <c r="V42" i="14" s="1"/>
  <c r="V43" i="14" s="1"/>
  <c r="AO11" i="11"/>
  <c r="AO14" i="11" s="1"/>
  <c r="AO11" i="12"/>
  <c r="AY69" i="3"/>
  <c r="AY12" i="3"/>
  <c r="AY32" i="3" s="1"/>
  <c r="AY44" i="3" s="1"/>
  <c r="AY48" i="3" s="1"/>
  <c r="Q83" i="3"/>
  <c r="Q86" i="2"/>
  <c r="Q10" i="2"/>
  <c r="Q31" i="2"/>
  <c r="U16" i="14"/>
  <c r="U19" i="14" s="1"/>
  <c r="AO19" i="11" l="1"/>
  <c r="AO21" i="11" s="1"/>
  <c r="AY83" i="3"/>
  <c r="Q70" i="2"/>
  <c r="Q106" i="2" s="1"/>
  <c r="AO14" i="12"/>
  <c r="AO19" i="12" s="1"/>
  <c r="Q54" i="2"/>
  <c r="U26" i="14"/>
  <c r="U40" i="14" s="1"/>
  <c r="U42" i="14" s="1"/>
  <c r="U43" i="14" s="1"/>
  <c r="AO11" i="10"/>
  <c r="K30" i="16"/>
  <c r="K29" i="16"/>
  <c r="K16" i="16"/>
  <c r="P31" i="10"/>
  <c r="U31" i="14" l="1" a="1"/>
  <c r="U31" i="14" s="1"/>
  <c r="U34" i="14" s="1"/>
  <c r="U38" i="14" s="1"/>
  <c r="U59" i="14" s="1"/>
  <c r="AO14" i="10"/>
  <c r="AO19" i="10" s="1"/>
  <c r="K15" i="16"/>
  <c r="L44" i="13"/>
  <c r="K17" i="16"/>
  <c r="K33" i="16" s="1"/>
  <c r="AO21" i="12" l="1"/>
  <c r="L16" i="13"/>
  <c r="K10" i="16"/>
  <c r="K18" i="16"/>
  <c r="P11" i="11"/>
  <c r="P11" i="12"/>
  <c r="P11" i="10"/>
  <c r="P14" i="12" l="1"/>
  <c r="P19" i="12" s="1"/>
  <c r="P14" i="10"/>
  <c r="P19" i="10" s="1"/>
  <c r="L19" i="13"/>
  <c r="P14" i="11"/>
  <c r="P19" i="11" s="1"/>
  <c r="AO21" i="10"/>
  <c r="T76" i="14"/>
  <c r="AX82" i="3" l="1"/>
  <c r="AX69" i="3"/>
  <c r="AX12" i="3"/>
  <c r="AX32" i="3" s="1"/>
  <c r="AX44" i="3" s="1"/>
  <c r="AX48" i="3" s="1"/>
  <c r="P82" i="3"/>
  <c r="P69" i="3"/>
  <c r="P12" i="3"/>
  <c r="P32" i="3" s="1"/>
  <c r="P44" i="3" s="1"/>
  <c r="P48" i="3" s="1"/>
  <c r="P99" i="2"/>
  <c r="P90" i="2"/>
  <c r="P87" i="2"/>
  <c r="P75" i="2"/>
  <c r="P72" i="2"/>
  <c r="P65" i="2"/>
  <c r="P45" i="2"/>
  <c r="P42" i="2"/>
  <c r="P39" i="2"/>
  <c r="P34" i="2"/>
  <c r="P24" i="2"/>
  <c r="P21" i="2"/>
  <c r="P18" i="2"/>
  <c r="T63" i="14"/>
  <c r="T60" i="14"/>
  <c r="T49" i="14"/>
  <c r="P10" i="2" l="1"/>
  <c r="K26" i="16" s="1"/>
  <c r="P21" i="12"/>
  <c r="P21" i="10"/>
  <c r="AX83" i="3"/>
  <c r="P21" i="11"/>
  <c r="P83" i="3"/>
  <c r="K23" i="16"/>
  <c r="P56" i="2"/>
  <c r="P71" i="2"/>
  <c r="K31" i="16" s="1"/>
  <c r="P86" i="2"/>
  <c r="K32" i="16" s="1"/>
  <c r="P31" i="2"/>
  <c r="P54" i="2" l="1"/>
  <c r="K27" i="16"/>
  <c r="K25" i="16" s="1"/>
  <c r="P55" i="2"/>
  <c r="K28" i="16" s="1"/>
  <c r="K34" i="16" s="1"/>
  <c r="P70" i="2"/>
  <c r="T10" i="14"/>
  <c r="T13" i="14"/>
  <c r="T21" i="14"/>
  <c r="T27" i="14"/>
  <c r="T44" i="14"/>
  <c r="P106" i="2" l="1"/>
  <c r="T16" i="14"/>
  <c r="T19" i="14" s="1"/>
  <c r="T26" i="14" s="1"/>
  <c r="T31" i="14" s="1" a="1"/>
  <c r="T31" i="14" s="1"/>
  <c r="T34" i="14" s="1"/>
  <c r="T38" i="14" s="1"/>
  <c r="T59" i="14" s="1"/>
  <c r="K78" i="13"/>
  <c r="J78" i="13"/>
  <c r="I78" i="13"/>
  <c r="T40" i="14" l="1"/>
  <c r="T42" i="14" s="1"/>
  <c r="T43" i="14" s="1"/>
  <c r="S76" i="14"/>
  <c r="AW71" i="3" l="1"/>
  <c r="AW72" i="3"/>
  <c r="AW73" i="3"/>
  <c r="AW74" i="3"/>
  <c r="AW75" i="3"/>
  <c r="AW76" i="3"/>
  <c r="AW77" i="3"/>
  <c r="AW78" i="3"/>
  <c r="AW79" i="3"/>
  <c r="AW80" i="3"/>
  <c r="AW81" i="3"/>
  <c r="AW50" i="3"/>
  <c r="AW51" i="3"/>
  <c r="AW52" i="3"/>
  <c r="AW53" i="3"/>
  <c r="AW54" i="3"/>
  <c r="AW55" i="3"/>
  <c r="AW57" i="3"/>
  <c r="AW58" i="3"/>
  <c r="AW59" i="3"/>
  <c r="AW60" i="3"/>
  <c r="AW61" i="3"/>
  <c r="AW62" i="3"/>
  <c r="AW63" i="3"/>
  <c r="AW64" i="3"/>
  <c r="AW65" i="3"/>
  <c r="AW66" i="3"/>
  <c r="AW67" i="3"/>
  <c r="AW68" i="3"/>
  <c r="AW45" i="3"/>
  <c r="AW47" i="3"/>
  <c r="AW33" i="3"/>
  <c r="AW34" i="3"/>
  <c r="AW35" i="3"/>
  <c r="AW37" i="3"/>
  <c r="AW39" i="3"/>
  <c r="AW40" i="3"/>
  <c r="AW42" i="3"/>
  <c r="AW43" i="3"/>
  <c r="AW13" i="3"/>
  <c r="AW14" i="3"/>
  <c r="AW15" i="3"/>
  <c r="AW16" i="3"/>
  <c r="AW17" i="3"/>
  <c r="AW19" i="3"/>
  <c r="AW20" i="3"/>
  <c r="AW22" i="3"/>
  <c r="AW23" i="3"/>
  <c r="AW24" i="3"/>
  <c r="AW25" i="3"/>
  <c r="AW26" i="3"/>
  <c r="AW27" i="3"/>
  <c r="AW28" i="3"/>
  <c r="AW30" i="3"/>
  <c r="AW31" i="3"/>
  <c r="AW11" i="3"/>
  <c r="AN105" i="2"/>
  <c r="AN104" i="2"/>
  <c r="AN103" i="2"/>
  <c r="AN102" i="2"/>
  <c r="AN101" i="2"/>
  <c r="AN100" i="2"/>
  <c r="AN98" i="2"/>
  <c r="AN97" i="2"/>
  <c r="AN93" i="2"/>
  <c r="AN92" i="2"/>
  <c r="AN91" i="2"/>
  <c r="AN89" i="2"/>
  <c r="AN88" i="2"/>
  <c r="AN85" i="2"/>
  <c r="AN84" i="2"/>
  <c r="AN83" i="2"/>
  <c r="AN82" i="2"/>
  <c r="AN78" i="2"/>
  <c r="AN77" i="2"/>
  <c r="AN76" i="2"/>
  <c r="AN74" i="2"/>
  <c r="AN73" i="2"/>
  <c r="AN69" i="2"/>
  <c r="AN68" i="2"/>
  <c r="AN67" i="2"/>
  <c r="AN66" i="2"/>
  <c r="AN64" i="2"/>
  <c r="AN62" i="2"/>
  <c r="AN61" i="2"/>
  <c r="AN60" i="2"/>
  <c r="AN57" i="2"/>
  <c r="AN53" i="2"/>
  <c r="AN50" i="2"/>
  <c r="AN49" i="2"/>
  <c r="AN48" i="2"/>
  <c r="AN47" i="2"/>
  <c r="AN46" i="2"/>
  <c r="AN44" i="2"/>
  <c r="AN43" i="2"/>
  <c r="AN41" i="2"/>
  <c r="AN40" i="2"/>
  <c r="AN38" i="2"/>
  <c r="AN37" i="2"/>
  <c r="AN36" i="2"/>
  <c r="AN35" i="2"/>
  <c r="AN33" i="2"/>
  <c r="AN32" i="2"/>
  <c r="AN30" i="2"/>
  <c r="AN27" i="2"/>
  <c r="AN26" i="2"/>
  <c r="AN25" i="2"/>
  <c r="AN23" i="2"/>
  <c r="AN22" i="2"/>
  <c r="AN20" i="2"/>
  <c r="AN19" i="2"/>
  <c r="AN17" i="2"/>
  <c r="AN16" i="2"/>
  <c r="AN15" i="2"/>
  <c r="AN14" i="2"/>
  <c r="AN13" i="2"/>
  <c r="AN12" i="2"/>
  <c r="AN11" i="2"/>
  <c r="O99" i="2"/>
  <c r="AN99" i="2" s="1"/>
  <c r="O90" i="2"/>
  <c r="AN90" i="2" s="1"/>
  <c r="O87" i="2"/>
  <c r="AN87" i="2" s="1"/>
  <c r="O75" i="2"/>
  <c r="AN75" i="2" s="1"/>
  <c r="O72" i="2"/>
  <c r="AN72" i="2" s="1"/>
  <c r="O65" i="2"/>
  <c r="AN65" i="2" s="1"/>
  <c r="O45" i="2"/>
  <c r="AN45" i="2" s="1"/>
  <c r="O42" i="2"/>
  <c r="AN42" i="2" s="1"/>
  <c r="O39" i="2"/>
  <c r="AN39" i="2" s="1"/>
  <c r="O34" i="2"/>
  <c r="AN34" i="2" s="1"/>
  <c r="O24" i="2"/>
  <c r="AN24" i="2" s="1"/>
  <c r="O21" i="2"/>
  <c r="AN21" i="2" s="1"/>
  <c r="O18" i="2"/>
  <c r="AN18" i="2" s="1"/>
  <c r="K65" i="13"/>
  <c r="K64" i="13"/>
  <c r="K62" i="13"/>
  <c r="K61" i="13"/>
  <c r="K58" i="13"/>
  <c r="K57" i="13"/>
  <c r="K56" i="13"/>
  <c r="K55" i="13"/>
  <c r="K54" i="13"/>
  <c r="K53" i="13"/>
  <c r="K52" i="13"/>
  <c r="K51" i="13"/>
  <c r="K41" i="13"/>
  <c r="K36" i="13"/>
  <c r="K33" i="13"/>
  <c r="K32" i="13"/>
  <c r="K30" i="13"/>
  <c r="K29" i="13"/>
  <c r="K28" i="13"/>
  <c r="K25" i="13"/>
  <c r="K24" i="13"/>
  <c r="K23" i="13"/>
  <c r="K22" i="13"/>
  <c r="K18" i="13"/>
  <c r="K17" i="13"/>
  <c r="K15" i="13"/>
  <c r="K14" i="13"/>
  <c r="K12" i="13"/>
  <c r="K11" i="13"/>
  <c r="S63" i="14"/>
  <c r="S60" i="14"/>
  <c r="S49" i="14"/>
  <c r="S44" i="14"/>
  <c r="O10" i="2" l="1"/>
  <c r="AN10" i="2" s="1"/>
  <c r="J16" i="16"/>
  <c r="J15" i="16"/>
  <c r="K44" i="13"/>
  <c r="O86" i="2"/>
  <c r="AN86" i="2" s="1"/>
  <c r="O71" i="2"/>
  <c r="AN71" i="2" s="1"/>
  <c r="O56" i="2"/>
  <c r="O55" i="2" s="1"/>
  <c r="AN55" i="2" s="1"/>
  <c r="O31" i="2"/>
  <c r="AN31" i="2" s="1"/>
  <c r="S27" i="14"/>
  <c r="S21" i="14"/>
  <c r="S13" i="14"/>
  <c r="S10" i="14"/>
  <c r="S16" i="14" l="1"/>
  <c r="S19" i="14" s="1"/>
  <c r="S26" i="14" s="1"/>
  <c r="O70" i="2"/>
  <c r="AN70" i="2" s="1"/>
  <c r="AN56" i="2"/>
  <c r="O54" i="2"/>
  <c r="AN54" i="2" s="1"/>
  <c r="S40" i="14" l="1"/>
  <c r="S42" i="14" s="1"/>
  <c r="S43" i="14" s="1"/>
  <c r="S31" i="14" a="1"/>
  <c r="S31" i="14" s="1"/>
  <c r="S34" i="14" s="1"/>
  <c r="S38" i="14" s="1"/>
  <c r="S59" i="14" s="1"/>
  <c r="O106" i="2"/>
  <c r="AN106" i="2" s="1"/>
  <c r="J31" i="16" l="1"/>
  <c r="J32" i="16"/>
  <c r="J30" i="16"/>
  <c r="J29" i="16"/>
  <c r="J28" i="16"/>
  <c r="J27" i="16"/>
  <c r="J26" i="16"/>
  <c r="J17" i="16"/>
  <c r="J33" i="16" s="1"/>
  <c r="J18" i="16"/>
  <c r="I17" i="16"/>
  <c r="I33" i="16" s="1"/>
  <c r="H17" i="16"/>
  <c r="H33" i="16" s="1"/>
  <c r="J25" i="16" l="1"/>
  <c r="J34" i="16"/>
  <c r="R76" i="14" l="1"/>
  <c r="Q76" i="14"/>
  <c r="P76" i="14"/>
  <c r="O76" i="14"/>
  <c r="N76" i="14"/>
  <c r="M76" i="14"/>
  <c r="L76" i="14"/>
  <c r="K76" i="14"/>
  <c r="J76" i="14"/>
  <c r="I76" i="14"/>
  <c r="H76" i="14"/>
  <c r="R63" i="14"/>
  <c r="Q63" i="14"/>
  <c r="P63" i="14"/>
  <c r="O63" i="14"/>
  <c r="N63" i="14"/>
  <c r="M63" i="14"/>
  <c r="L63" i="14"/>
  <c r="K63" i="14"/>
  <c r="J63" i="14"/>
  <c r="I63" i="14"/>
  <c r="H63" i="14"/>
  <c r="R60" i="14"/>
  <c r="Q60" i="14"/>
  <c r="P60" i="14"/>
  <c r="O60" i="14"/>
  <c r="N60" i="14"/>
  <c r="M60" i="14"/>
  <c r="L60" i="14"/>
  <c r="K60" i="14"/>
  <c r="J60" i="14"/>
  <c r="I60" i="14"/>
  <c r="H60" i="14"/>
  <c r="R49" i="14"/>
  <c r="Q49" i="14"/>
  <c r="P49" i="14"/>
  <c r="O49" i="14"/>
  <c r="N49" i="14"/>
  <c r="M49" i="14"/>
  <c r="L49" i="14"/>
  <c r="K49" i="14"/>
  <c r="J49" i="14"/>
  <c r="I49" i="14"/>
  <c r="H49" i="14"/>
  <c r="R44" i="14"/>
  <c r="Q44" i="14"/>
  <c r="P44" i="14"/>
  <c r="O44" i="14"/>
  <c r="N44" i="14"/>
  <c r="M44" i="14"/>
  <c r="L44" i="14"/>
  <c r="K44" i="14"/>
  <c r="J44" i="14"/>
  <c r="I44" i="14"/>
  <c r="H44" i="14"/>
  <c r="R27" i="14"/>
  <c r="Q27" i="14"/>
  <c r="P27" i="14"/>
  <c r="O27" i="14"/>
  <c r="N27" i="14"/>
  <c r="M27" i="14"/>
  <c r="L27" i="14"/>
  <c r="K27" i="14"/>
  <c r="J27" i="14"/>
  <c r="I27" i="14"/>
  <c r="H27" i="14"/>
  <c r="R21" i="14"/>
  <c r="Q21" i="14"/>
  <c r="P21" i="14"/>
  <c r="O21" i="14"/>
  <c r="N21" i="14"/>
  <c r="M21" i="14"/>
  <c r="L21" i="14"/>
  <c r="K21" i="14"/>
  <c r="J21" i="14"/>
  <c r="I21" i="14"/>
  <c r="H21" i="14"/>
  <c r="R13" i="14"/>
  <c r="Q13" i="14"/>
  <c r="P13" i="14"/>
  <c r="O13" i="14"/>
  <c r="N13" i="14"/>
  <c r="M13" i="14"/>
  <c r="L13" i="14"/>
  <c r="K13" i="14"/>
  <c r="J13" i="14"/>
  <c r="I13" i="14"/>
  <c r="H13" i="14"/>
  <c r="R10" i="14"/>
  <c r="Q10" i="14"/>
  <c r="P10" i="14"/>
  <c r="O10" i="14"/>
  <c r="N10" i="14"/>
  <c r="M10" i="14"/>
  <c r="L10" i="14"/>
  <c r="K10" i="14"/>
  <c r="K16" i="14" s="1"/>
  <c r="K19" i="14" s="1"/>
  <c r="K26" i="14" s="1"/>
  <c r="J10" i="14"/>
  <c r="I10" i="14"/>
  <c r="H10" i="14"/>
  <c r="O16" i="14" l="1"/>
  <c r="O19" i="14" s="1"/>
  <c r="N16" i="14"/>
  <c r="N19" i="14" s="1"/>
  <c r="O26" i="14"/>
  <c r="O40" i="14" s="1"/>
  <c r="O42" i="14" s="1"/>
  <c r="O43" i="14" s="1"/>
  <c r="J16" i="14"/>
  <c r="J19" i="14" s="1"/>
  <c r="J26" i="14" s="1"/>
  <c r="J40" i="14" s="1"/>
  <c r="J42" i="14" s="1"/>
  <c r="J43" i="14" s="1"/>
  <c r="I16" i="14"/>
  <c r="I19" i="14" s="1"/>
  <c r="I26" i="14" s="1"/>
  <c r="M16" i="14"/>
  <c r="M19" i="14" s="1"/>
  <c r="M26" i="14" s="1"/>
  <c r="M31" i="14" s="1" a="1"/>
  <c r="M31" i="14" s="1"/>
  <c r="M34" i="14" s="1"/>
  <c r="M38" i="14" s="1"/>
  <c r="M59" i="14" s="1"/>
  <c r="N26" i="14"/>
  <c r="N40" i="14" s="1"/>
  <c r="N42" i="14" s="1"/>
  <c r="N43" i="14" s="1"/>
  <c r="H16" i="14"/>
  <c r="H19" i="14" s="1"/>
  <c r="H26" i="14" s="1"/>
  <c r="H31" i="14" s="1" a="1"/>
  <c r="H31" i="14" s="1"/>
  <c r="H34" i="14" s="1"/>
  <c r="H38" i="14" s="1"/>
  <c r="H59" i="14" s="1"/>
  <c r="L16" i="14"/>
  <c r="L19" i="14" s="1"/>
  <c r="L26" i="14" s="1"/>
  <c r="L31" i="14" s="1" a="1"/>
  <c r="L31" i="14" s="1"/>
  <c r="L34" i="14" s="1"/>
  <c r="L38" i="14" s="1"/>
  <c r="L59" i="14" s="1"/>
  <c r="R16" i="14"/>
  <c r="R19" i="14" s="1"/>
  <c r="R26" i="14" s="1"/>
  <c r="R40" i="14" s="1"/>
  <c r="R42" i="14" s="1"/>
  <c r="R43" i="14" s="1"/>
  <c r="Q16" i="14"/>
  <c r="Q19" i="14" s="1"/>
  <c r="Q26" i="14" s="1"/>
  <c r="Q40" i="14" s="1"/>
  <c r="Q42" i="14" s="1"/>
  <c r="Q43" i="14" s="1"/>
  <c r="P16" i="14"/>
  <c r="P19" i="14" s="1"/>
  <c r="P26" i="14" s="1"/>
  <c r="P40" i="14" s="1"/>
  <c r="P42" i="14" s="1"/>
  <c r="P43" i="14" s="1"/>
  <c r="K31" i="14" a="1"/>
  <c r="K31" i="14" s="1"/>
  <c r="K34" i="14" s="1"/>
  <c r="K38" i="14" s="1"/>
  <c r="K59" i="14" s="1"/>
  <c r="K40" i="14"/>
  <c r="K42" i="14" s="1"/>
  <c r="K43" i="14" s="1"/>
  <c r="O31" i="14" a="1"/>
  <c r="O31" i="14" s="1"/>
  <c r="O34" i="14" s="1"/>
  <c r="O38" i="14" s="1"/>
  <c r="O59" i="14" s="1"/>
  <c r="H40" i="14" l="1"/>
  <c r="H42" i="14" s="1"/>
  <c r="H43" i="14" s="1"/>
  <c r="I31" i="14" a="1"/>
  <c r="I31" i="14" s="1"/>
  <c r="I34" i="14" s="1"/>
  <c r="I38" i="14" s="1"/>
  <c r="I59" i="14" s="1"/>
  <c r="I40" i="14"/>
  <c r="I42" i="14" s="1"/>
  <c r="I43" i="14" s="1"/>
  <c r="M40" i="14"/>
  <c r="M42" i="14" s="1"/>
  <c r="M43" i="14" s="1"/>
  <c r="J31" i="14" a="1"/>
  <c r="J31" i="14" s="1"/>
  <c r="J34" i="14" s="1"/>
  <c r="J38" i="14" s="1"/>
  <c r="J59" i="14" s="1"/>
  <c r="N31" i="14" a="1"/>
  <c r="N31" i="14" s="1"/>
  <c r="N34" i="14" s="1"/>
  <c r="N38" i="14" s="1"/>
  <c r="N59" i="14" s="1"/>
  <c r="R31" i="14" a="1"/>
  <c r="R31" i="14" s="1"/>
  <c r="R34" i="14" s="1"/>
  <c r="R38" i="14" s="1"/>
  <c r="R59" i="14" s="1"/>
  <c r="L40" i="14"/>
  <c r="L42" i="14" s="1"/>
  <c r="L43" i="14" s="1"/>
  <c r="P31" i="14" a="1"/>
  <c r="P31" i="14" s="1"/>
  <c r="P34" i="14" s="1"/>
  <c r="P38" i="14" s="1"/>
  <c r="P59" i="14" s="1"/>
  <c r="Q31" i="14" a="1"/>
  <c r="Q31" i="14" s="1"/>
  <c r="Q34" i="14" s="1"/>
  <c r="Q38" i="14" s="1"/>
  <c r="Q59" i="14" s="1"/>
  <c r="I57" i="13"/>
  <c r="J57" i="13"/>
  <c r="I58" i="13"/>
  <c r="J58" i="13"/>
  <c r="I54" i="13" l="1"/>
  <c r="J54" i="13"/>
  <c r="J41" i="13"/>
  <c r="I41" i="13"/>
  <c r="J65" i="13"/>
  <c r="I65" i="13"/>
  <c r="J64" i="13"/>
  <c r="I64" i="13"/>
  <c r="J62" i="13"/>
  <c r="I16" i="16" s="1"/>
  <c r="I62" i="13"/>
  <c r="H16" i="16" s="1"/>
  <c r="J61" i="13"/>
  <c r="I61" i="13"/>
  <c r="H15" i="16" s="1"/>
  <c r="J56" i="13"/>
  <c r="I56" i="13"/>
  <c r="J53" i="13"/>
  <c r="I53" i="13"/>
  <c r="J52" i="13"/>
  <c r="I52" i="13"/>
  <c r="J51" i="13"/>
  <c r="I51" i="13"/>
  <c r="J36" i="13"/>
  <c r="I36" i="13"/>
  <c r="J33" i="13"/>
  <c r="I33" i="13"/>
  <c r="J32" i="13"/>
  <c r="I32" i="13"/>
  <c r="J30" i="13"/>
  <c r="I30" i="13"/>
  <c r="J29" i="13"/>
  <c r="I29" i="13"/>
  <c r="J28" i="13"/>
  <c r="I28" i="13"/>
  <c r="J25" i="13"/>
  <c r="I25" i="13"/>
  <c r="J24" i="13"/>
  <c r="I24" i="13"/>
  <c r="J23" i="13"/>
  <c r="I23" i="13"/>
  <c r="J22" i="13"/>
  <c r="I22" i="13"/>
  <c r="J18" i="13"/>
  <c r="I18" i="13"/>
  <c r="J17" i="13"/>
  <c r="I17" i="13"/>
  <c r="J15" i="13"/>
  <c r="I15" i="13"/>
  <c r="J14" i="13"/>
  <c r="I14" i="13"/>
  <c r="I12" i="13"/>
  <c r="J12" i="13"/>
  <c r="J11" i="13"/>
  <c r="I11" i="13"/>
  <c r="J44" i="13" l="1"/>
  <c r="I15" i="16"/>
  <c r="I13" i="13"/>
  <c r="I63" i="13"/>
  <c r="J27" i="13"/>
  <c r="K13" i="13"/>
  <c r="K21" i="13"/>
  <c r="K27" i="13"/>
  <c r="I49" i="13"/>
  <c r="I60" i="13"/>
  <c r="J13" i="13"/>
  <c r="I21" i="13"/>
  <c r="J21" i="13"/>
  <c r="I27" i="13"/>
  <c r="J63" i="13"/>
  <c r="I44" i="13"/>
  <c r="J49" i="13"/>
  <c r="K63" i="13"/>
  <c r="J60" i="13"/>
  <c r="K60" i="13"/>
  <c r="K49" i="13"/>
  <c r="K10" i="13"/>
  <c r="I10" i="13"/>
  <c r="J10" i="13"/>
  <c r="I10" i="16" s="1"/>
  <c r="H18" i="16" l="1"/>
  <c r="I18" i="16"/>
  <c r="I16" i="13"/>
  <c r="I19" i="13" s="1"/>
  <c r="H10" i="16"/>
  <c r="K16" i="13"/>
  <c r="J10" i="16"/>
  <c r="J16" i="13"/>
  <c r="J19" i="13" s="1"/>
  <c r="J26" i="13" s="1"/>
  <c r="I11" i="16" s="1"/>
  <c r="I26" i="13"/>
  <c r="I31" i="13" s="1" a="1"/>
  <c r="I31" i="13" s="1"/>
  <c r="I43" i="1"/>
  <c r="J43" i="1"/>
  <c r="K43" i="1"/>
  <c r="L43" i="1"/>
  <c r="M43" i="1"/>
  <c r="N43" i="1"/>
  <c r="O43" i="1"/>
  <c r="P43" i="1"/>
  <c r="Q43" i="1"/>
  <c r="R43" i="1"/>
  <c r="H43" i="1"/>
  <c r="I34" i="13" l="1"/>
  <c r="I38" i="13" s="1"/>
  <c r="H13" i="16"/>
  <c r="K19" i="13"/>
  <c r="I40" i="13"/>
  <c r="I42" i="13" s="1"/>
  <c r="H11" i="16"/>
  <c r="J31" i="13" a="1"/>
  <c r="J31" i="13" s="1"/>
  <c r="J40" i="13"/>
  <c r="J42" i="13" s="1"/>
  <c r="E31" i="10"/>
  <c r="F31" i="10"/>
  <c r="G31" i="10"/>
  <c r="H31" i="10"/>
  <c r="I31" i="10"/>
  <c r="J31" i="10"/>
  <c r="K31" i="10"/>
  <c r="L31" i="10"/>
  <c r="M31" i="10"/>
  <c r="N31" i="10"/>
  <c r="D31" i="10"/>
  <c r="O31" i="10"/>
  <c r="J43" i="13" l="1"/>
  <c r="I12" i="16"/>
  <c r="K26" i="13"/>
  <c r="J34" i="13"/>
  <c r="J38" i="13" s="1"/>
  <c r="I13" i="16"/>
  <c r="I43" i="13"/>
  <c r="H12" i="16"/>
  <c r="I59" i="13"/>
  <c r="H14" i="16"/>
  <c r="M20" i="12"/>
  <c r="L20" i="12"/>
  <c r="K20" i="12"/>
  <c r="J20" i="12"/>
  <c r="I20" i="12"/>
  <c r="H20" i="12"/>
  <c r="G20" i="12"/>
  <c r="F20" i="12"/>
  <c r="E20" i="12"/>
  <c r="D20" i="12"/>
  <c r="N18" i="12"/>
  <c r="M18" i="12"/>
  <c r="L18" i="12"/>
  <c r="K18" i="12"/>
  <c r="J18" i="12"/>
  <c r="I18" i="12"/>
  <c r="H18" i="12"/>
  <c r="G18" i="12"/>
  <c r="F18" i="12"/>
  <c r="E18" i="12"/>
  <c r="D18" i="12"/>
  <c r="N17" i="12"/>
  <c r="M17" i="12"/>
  <c r="L17" i="12"/>
  <c r="K17" i="12"/>
  <c r="J17" i="12"/>
  <c r="I17" i="12"/>
  <c r="H17" i="12"/>
  <c r="G17" i="12"/>
  <c r="F17" i="12"/>
  <c r="E17" i="12"/>
  <c r="D17" i="12"/>
  <c r="K16" i="12"/>
  <c r="J16" i="12"/>
  <c r="I16" i="12"/>
  <c r="H16" i="12"/>
  <c r="G16" i="12"/>
  <c r="F16" i="12"/>
  <c r="E16" i="12"/>
  <c r="D16" i="12"/>
  <c r="M13" i="12"/>
  <c r="L13" i="12"/>
  <c r="K13" i="12"/>
  <c r="J13" i="12"/>
  <c r="I13" i="12"/>
  <c r="H13" i="12"/>
  <c r="G13" i="12"/>
  <c r="F13" i="12"/>
  <c r="E13" i="12"/>
  <c r="D13" i="12"/>
  <c r="N12" i="12"/>
  <c r="M12" i="12"/>
  <c r="L12" i="12"/>
  <c r="K12" i="12"/>
  <c r="J12" i="12"/>
  <c r="I12" i="12"/>
  <c r="H12" i="12"/>
  <c r="G12" i="12"/>
  <c r="F12" i="12"/>
  <c r="E12" i="12"/>
  <c r="D12" i="12"/>
  <c r="K10" i="12"/>
  <c r="J10" i="12"/>
  <c r="I10" i="12"/>
  <c r="H10" i="12"/>
  <c r="G10" i="12"/>
  <c r="F10" i="12"/>
  <c r="E10" i="12"/>
  <c r="D10" i="12"/>
  <c r="N9" i="12"/>
  <c r="M9" i="12"/>
  <c r="L9" i="12"/>
  <c r="K9" i="12"/>
  <c r="J9" i="12"/>
  <c r="I9" i="12"/>
  <c r="H9" i="12"/>
  <c r="G9" i="12"/>
  <c r="F9" i="12"/>
  <c r="E9" i="12"/>
  <c r="D9" i="12"/>
  <c r="O11" i="12"/>
  <c r="M20" i="11"/>
  <c r="L20" i="11"/>
  <c r="K20" i="11"/>
  <c r="J20" i="11"/>
  <c r="I20" i="11"/>
  <c r="H20" i="11"/>
  <c r="G20" i="11"/>
  <c r="F20" i="11"/>
  <c r="E20" i="11"/>
  <c r="D20" i="11"/>
  <c r="N18" i="11"/>
  <c r="M18" i="11"/>
  <c r="L18" i="11"/>
  <c r="K18" i="11"/>
  <c r="J18" i="11"/>
  <c r="I18" i="11"/>
  <c r="H18" i="11"/>
  <c r="G18" i="11"/>
  <c r="F18" i="11"/>
  <c r="E18" i="11"/>
  <c r="D18" i="11"/>
  <c r="N17" i="11"/>
  <c r="M17" i="11"/>
  <c r="L17" i="11"/>
  <c r="K17" i="11"/>
  <c r="J17" i="11"/>
  <c r="I17" i="11"/>
  <c r="H17" i="11"/>
  <c r="G17" i="11"/>
  <c r="F17" i="11"/>
  <c r="E17" i="11"/>
  <c r="D17" i="11"/>
  <c r="K16" i="11"/>
  <c r="J16" i="11"/>
  <c r="I16" i="11"/>
  <c r="H16" i="11"/>
  <c r="G16" i="11"/>
  <c r="F16" i="11"/>
  <c r="E16" i="11"/>
  <c r="D16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AN10" i="11"/>
  <c r="K10" i="11"/>
  <c r="J10" i="11"/>
  <c r="I10" i="11"/>
  <c r="H10" i="11"/>
  <c r="G10" i="11"/>
  <c r="F10" i="11"/>
  <c r="E10" i="11"/>
  <c r="D10" i="11"/>
  <c r="N9" i="11"/>
  <c r="M9" i="11"/>
  <c r="L9" i="11"/>
  <c r="K9" i="11"/>
  <c r="J9" i="11"/>
  <c r="I9" i="11"/>
  <c r="H9" i="11"/>
  <c r="G9" i="11"/>
  <c r="F9" i="11"/>
  <c r="E9" i="11"/>
  <c r="D9" i="11"/>
  <c r="O11" i="11"/>
  <c r="N18" i="10"/>
  <c r="N17" i="10"/>
  <c r="N12" i="10"/>
  <c r="N9" i="10"/>
  <c r="N11" i="10" s="1"/>
  <c r="M20" i="10"/>
  <c r="AN20" i="10" s="1"/>
  <c r="M18" i="10"/>
  <c r="M17" i="10"/>
  <c r="M13" i="10"/>
  <c r="M12" i="10"/>
  <c r="M9" i="10"/>
  <c r="M11" i="10" s="1"/>
  <c r="L18" i="10"/>
  <c r="L17" i="10"/>
  <c r="L13" i="10"/>
  <c r="L12" i="10"/>
  <c r="L9" i="10"/>
  <c r="L11" i="10" s="1"/>
  <c r="K20" i="10"/>
  <c r="K18" i="10"/>
  <c r="K17" i="10"/>
  <c r="K16" i="10"/>
  <c r="K13" i="10"/>
  <c r="K12" i="10"/>
  <c r="K10" i="10"/>
  <c r="K9" i="10"/>
  <c r="J20" i="10"/>
  <c r="J18" i="10"/>
  <c r="J17" i="10"/>
  <c r="J16" i="10"/>
  <c r="J13" i="10"/>
  <c r="J12" i="10"/>
  <c r="J10" i="10"/>
  <c r="J9" i="10"/>
  <c r="I20" i="10"/>
  <c r="I18" i="10"/>
  <c r="I17" i="10"/>
  <c r="I16" i="10"/>
  <c r="I13" i="10"/>
  <c r="I12" i="10"/>
  <c r="I10" i="10"/>
  <c r="I9" i="10"/>
  <c r="H20" i="10"/>
  <c r="H18" i="10"/>
  <c r="AM18" i="10" s="1"/>
  <c r="H17" i="10"/>
  <c r="H16" i="10"/>
  <c r="H13" i="10"/>
  <c r="AM13" i="10" s="1"/>
  <c r="H12" i="10"/>
  <c r="H10" i="10"/>
  <c r="H9" i="10"/>
  <c r="AN16" i="10"/>
  <c r="AN10" i="10"/>
  <c r="O11" i="10"/>
  <c r="G20" i="10"/>
  <c r="G18" i="10"/>
  <c r="G17" i="10"/>
  <c r="G16" i="10"/>
  <c r="G13" i="10"/>
  <c r="G12" i="10"/>
  <c r="G10" i="10"/>
  <c r="G9" i="10"/>
  <c r="F20" i="10"/>
  <c r="F18" i="10"/>
  <c r="F17" i="10"/>
  <c r="F16" i="10"/>
  <c r="F13" i="10"/>
  <c r="F12" i="10"/>
  <c r="F10" i="10"/>
  <c r="F9" i="10"/>
  <c r="E20" i="10"/>
  <c r="E18" i="10"/>
  <c r="E17" i="10"/>
  <c r="E16" i="10"/>
  <c r="E13" i="10"/>
  <c r="E12" i="10"/>
  <c r="E10" i="10"/>
  <c r="E9" i="10"/>
  <c r="D20" i="10"/>
  <c r="AL20" i="10" s="1"/>
  <c r="D18" i="10"/>
  <c r="D17" i="10"/>
  <c r="D16" i="10"/>
  <c r="AL16" i="10" s="1"/>
  <c r="D13" i="10"/>
  <c r="AL13" i="10" s="1"/>
  <c r="D12" i="10"/>
  <c r="AL12" i="10" s="1"/>
  <c r="D10" i="10"/>
  <c r="AL10" i="10" s="1"/>
  <c r="D9" i="10"/>
  <c r="AN13" i="10" l="1"/>
  <c r="AL9" i="10"/>
  <c r="AM16" i="10"/>
  <c r="AN17" i="10"/>
  <c r="AL18" i="10"/>
  <c r="AL17" i="10"/>
  <c r="AN18" i="11"/>
  <c r="AN12" i="10"/>
  <c r="D11" i="12"/>
  <c r="D14" i="12" s="1"/>
  <c r="AN18" i="10"/>
  <c r="K11" i="12"/>
  <c r="K14" i="12" s="1"/>
  <c r="H11" i="11"/>
  <c r="H14" i="11" s="1"/>
  <c r="AN17" i="11"/>
  <c r="AN17" i="12"/>
  <c r="AN12" i="12"/>
  <c r="AN18" i="12"/>
  <c r="AN9" i="10"/>
  <c r="AN11" i="10" s="1"/>
  <c r="AM17" i="10"/>
  <c r="O14" i="11"/>
  <c r="O19" i="11" s="1"/>
  <c r="O14" i="12"/>
  <c r="O19" i="12" s="1"/>
  <c r="O14" i="10"/>
  <c r="O19" i="10" s="1"/>
  <c r="M14" i="10"/>
  <c r="M19" i="10" s="1"/>
  <c r="J11" i="12"/>
  <c r="J14" i="12" s="1"/>
  <c r="N11" i="12"/>
  <c r="AL12" i="12"/>
  <c r="AM12" i="12"/>
  <c r="AL13" i="12"/>
  <c r="AL16" i="12"/>
  <c r="AM16" i="12"/>
  <c r="AN16" i="12"/>
  <c r="AL17" i="12"/>
  <c r="AL18" i="12"/>
  <c r="AM18" i="12"/>
  <c r="AL20" i="12"/>
  <c r="AM20" i="12"/>
  <c r="AN20" i="12"/>
  <c r="AN10" i="12"/>
  <c r="F11" i="12"/>
  <c r="F14" i="12" s="1"/>
  <c r="AL10" i="12"/>
  <c r="H11" i="12"/>
  <c r="H14" i="12" s="1"/>
  <c r="AN9" i="12"/>
  <c r="D11" i="11"/>
  <c r="D14" i="11" s="1"/>
  <c r="F11" i="11"/>
  <c r="F14" i="11" s="1"/>
  <c r="G11" i="11"/>
  <c r="G14" i="11" s="1"/>
  <c r="K11" i="11"/>
  <c r="K14" i="11" s="1"/>
  <c r="AL12" i="11"/>
  <c r="AN12" i="11"/>
  <c r="AL20" i="11"/>
  <c r="F11" i="10"/>
  <c r="F14" i="10" s="1"/>
  <c r="K31" i="13" a="1"/>
  <c r="K31" i="13" s="1"/>
  <c r="K40" i="13"/>
  <c r="J11" i="16"/>
  <c r="J59" i="13"/>
  <c r="I14" i="16"/>
  <c r="AL9" i="12"/>
  <c r="G11" i="12"/>
  <c r="G14" i="12" s="1"/>
  <c r="AL16" i="11"/>
  <c r="E11" i="10"/>
  <c r="E14" i="10" s="1"/>
  <c r="AM9" i="12"/>
  <c r="AL9" i="11"/>
  <c r="AM9" i="11"/>
  <c r="AN9" i="11"/>
  <c r="AN11" i="11" s="1"/>
  <c r="AL10" i="11"/>
  <c r="J11" i="11"/>
  <c r="J14" i="11" s="1"/>
  <c r="N11" i="11"/>
  <c r="AM12" i="11"/>
  <c r="AL13" i="11"/>
  <c r="AM16" i="11"/>
  <c r="AN16" i="11"/>
  <c r="AL17" i="11"/>
  <c r="AL18" i="11"/>
  <c r="AM18" i="11"/>
  <c r="AM20" i="11"/>
  <c r="AN20" i="11"/>
  <c r="G11" i="10"/>
  <c r="G14" i="10" s="1"/>
  <c r="AM20" i="10"/>
  <c r="N14" i="10"/>
  <c r="N19" i="10" s="1"/>
  <c r="AM12" i="10"/>
  <c r="L14" i="10"/>
  <c r="L19" i="10" s="1"/>
  <c r="I11" i="10"/>
  <c r="I14" i="10" s="1"/>
  <c r="K11" i="10"/>
  <c r="K14" i="10" s="1"/>
  <c r="AM13" i="12"/>
  <c r="AN13" i="12"/>
  <c r="AM17" i="12"/>
  <c r="E11" i="12"/>
  <c r="E14" i="12" s="1"/>
  <c r="I11" i="12"/>
  <c r="I14" i="12" s="1"/>
  <c r="M11" i="12"/>
  <c r="AM10" i="12"/>
  <c r="L11" i="12"/>
  <c r="AM17" i="11"/>
  <c r="AM13" i="11"/>
  <c r="AN13" i="11"/>
  <c r="E11" i="11"/>
  <c r="E14" i="11" s="1"/>
  <c r="I11" i="11"/>
  <c r="I14" i="11" s="1"/>
  <c r="M11" i="11"/>
  <c r="AM10" i="11"/>
  <c r="L11" i="11"/>
  <c r="AM10" i="10"/>
  <c r="H11" i="10"/>
  <c r="H14" i="10" s="1"/>
  <c r="AL11" i="10"/>
  <c r="AL14" i="10" s="1"/>
  <c r="J11" i="10"/>
  <c r="J14" i="10" s="1"/>
  <c r="D11" i="10"/>
  <c r="K75" i="1"/>
  <c r="J75" i="1"/>
  <c r="I75" i="1"/>
  <c r="H75" i="1"/>
  <c r="AL11" i="12" l="1"/>
  <c r="F19" i="12"/>
  <c r="F21" i="12" s="1"/>
  <c r="K19" i="12"/>
  <c r="K21" i="12" s="1"/>
  <c r="G19" i="12"/>
  <c r="G21" i="12" s="1"/>
  <c r="J19" i="12"/>
  <c r="J21" i="12" s="1"/>
  <c r="E19" i="12"/>
  <c r="E21" i="12" s="1"/>
  <c r="H19" i="12"/>
  <c r="H21" i="12" s="1"/>
  <c r="I19" i="12"/>
  <c r="I21" i="12" s="1"/>
  <c r="D19" i="12"/>
  <c r="D21" i="12" s="1"/>
  <c r="J19" i="11"/>
  <c r="J21" i="11" s="1"/>
  <c r="G19" i="11"/>
  <c r="G21" i="11" s="1"/>
  <c r="H19" i="11"/>
  <c r="H21" i="11" s="1"/>
  <c r="F19" i="11"/>
  <c r="F21" i="11" s="1"/>
  <c r="I19" i="11"/>
  <c r="I21" i="11" s="1"/>
  <c r="E19" i="11"/>
  <c r="E21" i="11" s="1"/>
  <c r="D19" i="11"/>
  <c r="D21" i="11" s="1"/>
  <c r="K19" i="11"/>
  <c r="K21" i="11" s="1"/>
  <c r="AL19" i="10"/>
  <c r="H19" i="10"/>
  <c r="H21" i="10" s="1"/>
  <c r="G19" i="10"/>
  <c r="G21" i="10" s="1"/>
  <c r="I19" i="10"/>
  <c r="I21" i="10" s="1"/>
  <c r="E19" i="10"/>
  <c r="E21" i="10" s="1"/>
  <c r="J19" i="10"/>
  <c r="J21" i="10" s="1"/>
  <c r="K19" i="10"/>
  <c r="K21" i="10" s="1"/>
  <c r="F19" i="10"/>
  <c r="F21" i="10" s="1"/>
  <c r="L14" i="11"/>
  <c r="L19" i="11" s="1"/>
  <c r="AN11" i="12"/>
  <c r="L14" i="12"/>
  <c r="L19" i="12" s="1"/>
  <c r="AN14" i="10"/>
  <c r="AN19" i="10" s="1"/>
  <c r="N14" i="11"/>
  <c r="N19" i="11" s="1"/>
  <c r="N14" i="12"/>
  <c r="N19" i="12" s="1"/>
  <c r="M14" i="11"/>
  <c r="M19" i="11" s="1"/>
  <c r="M14" i="12"/>
  <c r="M19" i="12" s="1"/>
  <c r="AL11" i="11"/>
  <c r="AL14" i="11" s="1"/>
  <c r="AL19" i="11" s="1"/>
  <c r="K34" i="13"/>
  <c r="J13" i="16"/>
  <c r="K42" i="13"/>
  <c r="AN14" i="12"/>
  <c r="AN19" i="12" s="1"/>
  <c r="AL14" i="12"/>
  <c r="AL19" i="12" s="1"/>
  <c r="AM11" i="12"/>
  <c r="AM11" i="11"/>
  <c r="AM14" i="11" s="1"/>
  <c r="AM19" i="11" s="1"/>
  <c r="AN14" i="11"/>
  <c r="AN19" i="11" s="1"/>
  <c r="AM9" i="10"/>
  <c r="AM11" i="10" s="1"/>
  <c r="AM14" i="10" s="1"/>
  <c r="AM19" i="10" s="1"/>
  <c r="D14" i="10"/>
  <c r="P75" i="1"/>
  <c r="L75" i="1"/>
  <c r="O75" i="1"/>
  <c r="R75" i="1"/>
  <c r="N75" i="1"/>
  <c r="D19" i="10" l="1"/>
  <c r="D21" i="10" s="1"/>
  <c r="L21" i="10"/>
  <c r="O21" i="11"/>
  <c r="O21" i="12"/>
  <c r="O21" i="10"/>
  <c r="N21" i="10"/>
  <c r="M21" i="10"/>
  <c r="K43" i="13"/>
  <c r="J12" i="16"/>
  <c r="K38" i="13"/>
  <c r="AM14" i="12"/>
  <c r="AM19" i="12" s="1"/>
  <c r="AL21" i="10"/>
  <c r="AN21" i="10"/>
  <c r="Q75" i="1"/>
  <c r="M75" i="1"/>
  <c r="L21" i="11" l="1"/>
  <c r="L21" i="12"/>
  <c r="N21" i="11"/>
  <c r="N21" i="12"/>
  <c r="M21" i="11"/>
  <c r="M21" i="12"/>
  <c r="K59" i="13"/>
  <c r="J14" i="16"/>
  <c r="AN21" i="12"/>
  <c r="AL21" i="12"/>
  <c r="AM21" i="11"/>
  <c r="AL21" i="11"/>
  <c r="AN21" i="11"/>
  <c r="AM21" i="10"/>
  <c r="AM21" i="12" l="1"/>
  <c r="S51" i="5"/>
  <c r="S50" i="5"/>
  <c r="S49" i="5"/>
  <c r="S48" i="5"/>
  <c r="S47" i="5"/>
  <c r="S46" i="5"/>
  <c r="S45" i="5"/>
  <c r="S44" i="5"/>
  <c r="S43" i="5"/>
  <c r="S42" i="5"/>
  <c r="S41" i="5"/>
  <c r="S40" i="5"/>
  <c r="Q118" i="8"/>
  <c r="P118" i="8"/>
  <c r="O118" i="8"/>
  <c r="N118" i="8"/>
  <c r="S116" i="8"/>
  <c r="Q116" i="8"/>
  <c r="P116" i="8"/>
  <c r="O116" i="8"/>
  <c r="N116" i="8"/>
  <c r="Q115" i="8"/>
  <c r="P115" i="8"/>
  <c r="O115" i="8"/>
  <c r="N115" i="8"/>
  <c r="R115" i="8" s="1"/>
  <c r="Q114" i="8"/>
  <c r="P114" i="8"/>
  <c r="O114" i="8"/>
  <c r="N114" i="8"/>
  <c r="P113" i="8"/>
  <c r="P117" i="8" s="1"/>
  <c r="P119" i="8" s="1"/>
  <c r="Q112" i="8"/>
  <c r="P112" i="8"/>
  <c r="O112" i="8"/>
  <c r="N112" i="8"/>
  <c r="Q111" i="8"/>
  <c r="P111" i="8"/>
  <c r="O111" i="8"/>
  <c r="N111" i="8"/>
  <c r="R111" i="8" s="1"/>
  <c r="Q110" i="8"/>
  <c r="Q113" i="8" s="1"/>
  <c r="Q117" i="8" s="1"/>
  <c r="Q119" i="8" s="1"/>
  <c r="Q109" i="8"/>
  <c r="P109" i="8"/>
  <c r="P110" i="8" s="1"/>
  <c r="O109" i="8"/>
  <c r="N109" i="8"/>
  <c r="R109" i="8" s="1"/>
  <c r="S108" i="8"/>
  <c r="Q108" i="8"/>
  <c r="P108" i="8"/>
  <c r="O108" i="8"/>
  <c r="O110" i="8" s="1"/>
  <c r="O113" i="8" s="1"/>
  <c r="O117" i="8" s="1"/>
  <c r="O119" i="8" s="1"/>
  <c r="N108" i="8"/>
  <c r="N110" i="8" s="1"/>
  <c r="Q105" i="8"/>
  <c r="P105" i="8"/>
  <c r="O105" i="8"/>
  <c r="N105" i="8"/>
  <c r="S103" i="8"/>
  <c r="Q103" i="8"/>
  <c r="P103" i="8"/>
  <c r="O103" i="8"/>
  <c r="N103" i="8"/>
  <c r="R103" i="8" s="1"/>
  <c r="T103" i="8" s="1"/>
  <c r="Q102" i="8"/>
  <c r="P102" i="8"/>
  <c r="O102" i="8"/>
  <c r="N102" i="8"/>
  <c r="R102" i="8" s="1"/>
  <c r="Q101" i="8"/>
  <c r="P101" i="8"/>
  <c r="O101" i="8"/>
  <c r="N101" i="8"/>
  <c r="Q99" i="8"/>
  <c r="P99" i="8"/>
  <c r="O99" i="8"/>
  <c r="N99" i="8"/>
  <c r="R99" i="8" s="1"/>
  <c r="Q98" i="8"/>
  <c r="P98" i="8"/>
  <c r="O98" i="8"/>
  <c r="N98" i="8"/>
  <c r="R98" i="8" s="1"/>
  <c r="Q97" i="8"/>
  <c r="Q100" i="8" s="1"/>
  <c r="Q104" i="8" s="1"/>
  <c r="Q106" i="8" s="1"/>
  <c r="Q96" i="8"/>
  <c r="P96" i="8"/>
  <c r="P97" i="8" s="1"/>
  <c r="P100" i="8" s="1"/>
  <c r="P104" i="8" s="1"/>
  <c r="P106" i="8" s="1"/>
  <c r="O96" i="8"/>
  <c r="N96" i="8"/>
  <c r="S95" i="8"/>
  <c r="Q95" i="8"/>
  <c r="P95" i="8"/>
  <c r="O95" i="8"/>
  <c r="O97" i="8" s="1"/>
  <c r="O100" i="8" s="1"/>
  <c r="O104" i="8" s="1"/>
  <c r="O106" i="8" s="1"/>
  <c r="N95" i="8"/>
  <c r="N97" i="8" s="1"/>
  <c r="Q88" i="8"/>
  <c r="P88" i="8"/>
  <c r="O88" i="8"/>
  <c r="N88" i="8"/>
  <c r="H88" i="8"/>
  <c r="Q87" i="8"/>
  <c r="Q89" i="8" s="1"/>
  <c r="S86" i="8"/>
  <c r="Q86" i="8"/>
  <c r="P86" i="8"/>
  <c r="O86" i="8"/>
  <c r="N86" i="8"/>
  <c r="R86" i="8" s="1"/>
  <c r="T86" i="8" s="1"/>
  <c r="H86" i="8"/>
  <c r="J86" i="8" s="1"/>
  <c r="Q85" i="8"/>
  <c r="P85" i="8"/>
  <c r="O85" i="8"/>
  <c r="N85" i="8"/>
  <c r="H85" i="8"/>
  <c r="Q84" i="8"/>
  <c r="P84" i="8"/>
  <c r="O84" i="8"/>
  <c r="J84" i="8"/>
  <c r="H84" i="8"/>
  <c r="S114" i="8" s="1"/>
  <c r="Q82" i="8"/>
  <c r="P82" i="8"/>
  <c r="O82" i="8"/>
  <c r="N82" i="8"/>
  <c r="R82" i="8" s="1"/>
  <c r="H82" i="8"/>
  <c r="Q81" i="8"/>
  <c r="P81" i="8"/>
  <c r="O81" i="8"/>
  <c r="N81" i="8"/>
  <c r="R81" i="8" s="1"/>
  <c r="T81" i="8" s="1"/>
  <c r="J81" i="8"/>
  <c r="H81" i="8"/>
  <c r="S81" i="8" s="1"/>
  <c r="N80" i="8"/>
  <c r="N83" i="8" s="1"/>
  <c r="I80" i="8"/>
  <c r="I83" i="8" s="1"/>
  <c r="I87" i="8" s="1"/>
  <c r="I89" i="8" s="1"/>
  <c r="G80" i="8"/>
  <c r="G83" i="8" s="1"/>
  <c r="G87" i="8" s="1"/>
  <c r="G89" i="8" s="1"/>
  <c r="F80" i="8"/>
  <c r="F83" i="8" s="1"/>
  <c r="F87" i="8" s="1"/>
  <c r="F89" i="8" s="1"/>
  <c r="E80" i="8"/>
  <c r="E83" i="8" s="1"/>
  <c r="E87" i="8" s="1"/>
  <c r="E89" i="8" s="1"/>
  <c r="D80" i="8"/>
  <c r="D83" i="8" s="1"/>
  <c r="Q79" i="8"/>
  <c r="P79" i="8"/>
  <c r="O79" i="8"/>
  <c r="H79" i="8"/>
  <c r="Q78" i="8"/>
  <c r="Q80" i="8" s="1"/>
  <c r="Q83" i="8" s="1"/>
  <c r="P78" i="8"/>
  <c r="P80" i="8" s="1"/>
  <c r="P83" i="8" s="1"/>
  <c r="P87" i="8" s="1"/>
  <c r="P89" i="8" s="1"/>
  <c r="O78" i="8"/>
  <c r="O80" i="8" s="1"/>
  <c r="O83" i="8" s="1"/>
  <c r="O87" i="8" s="1"/>
  <c r="O89" i="8" s="1"/>
  <c r="N78" i="8"/>
  <c r="J78" i="8"/>
  <c r="H78" i="8"/>
  <c r="S78" i="8" s="1"/>
  <c r="Q75" i="8"/>
  <c r="P75" i="8"/>
  <c r="O75" i="8"/>
  <c r="N75" i="8"/>
  <c r="R75" i="8" s="1"/>
  <c r="H75" i="8"/>
  <c r="F74" i="8"/>
  <c r="F76" i="8" s="1"/>
  <c r="S73" i="8"/>
  <c r="Q73" i="8"/>
  <c r="P73" i="8"/>
  <c r="O73" i="8"/>
  <c r="N73" i="8"/>
  <c r="H73" i="8"/>
  <c r="J73" i="8" s="1"/>
  <c r="Q72" i="8"/>
  <c r="P72" i="8"/>
  <c r="O72" i="8"/>
  <c r="N72" i="8"/>
  <c r="R72" i="8" s="1"/>
  <c r="H72" i="8"/>
  <c r="Q71" i="8"/>
  <c r="P71" i="8"/>
  <c r="O71" i="8"/>
  <c r="N71" i="8"/>
  <c r="R71" i="8" s="1"/>
  <c r="J71" i="8"/>
  <c r="H71" i="8"/>
  <c r="S101" i="8" s="1"/>
  <c r="N70" i="8"/>
  <c r="Q69" i="8"/>
  <c r="P69" i="8"/>
  <c r="O69" i="8"/>
  <c r="N69" i="8"/>
  <c r="H69" i="8"/>
  <c r="Q68" i="8"/>
  <c r="P68" i="8"/>
  <c r="O68" i="8"/>
  <c r="N68" i="8"/>
  <c r="J68" i="8"/>
  <c r="H68" i="8"/>
  <c r="S68" i="8" s="1"/>
  <c r="N67" i="8"/>
  <c r="I67" i="8"/>
  <c r="I70" i="8" s="1"/>
  <c r="I74" i="8" s="1"/>
  <c r="I76" i="8" s="1"/>
  <c r="G67" i="8"/>
  <c r="G70" i="8" s="1"/>
  <c r="G74" i="8" s="1"/>
  <c r="G76" i="8" s="1"/>
  <c r="F67" i="8"/>
  <c r="F70" i="8" s="1"/>
  <c r="E67" i="8"/>
  <c r="E70" i="8" s="1"/>
  <c r="E74" i="8" s="1"/>
  <c r="E76" i="8" s="1"/>
  <c r="D67" i="8"/>
  <c r="D70" i="8" s="1"/>
  <c r="Q66" i="8"/>
  <c r="P66" i="8"/>
  <c r="O66" i="8"/>
  <c r="N66" i="8"/>
  <c r="H66" i="8"/>
  <c r="Q65" i="8"/>
  <c r="Q67" i="8" s="1"/>
  <c r="P65" i="8"/>
  <c r="P67" i="8" s="1"/>
  <c r="P70" i="8" s="1"/>
  <c r="P74" i="8" s="1"/>
  <c r="P76" i="8" s="1"/>
  <c r="O65" i="8"/>
  <c r="O67" i="8" s="1"/>
  <c r="O70" i="8" s="1"/>
  <c r="N65" i="8"/>
  <c r="J65" i="8"/>
  <c r="H65" i="8"/>
  <c r="S65" i="8" s="1"/>
  <c r="Q58" i="8"/>
  <c r="P58" i="8"/>
  <c r="O58" i="8"/>
  <c r="N58" i="8"/>
  <c r="R58" i="8" s="1"/>
  <c r="T58" i="8" s="1"/>
  <c r="H58" i="8"/>
  <c r="J58" i="8" s="1"/>
  <c r="Q56" i="8"/>
  <c r="P56" i="8"/>
  <c r="O56" i="8"/>
  <c r="N56" i="8"/>
  <c r="H56" i="8"/>
  <c r="J56" i="8" s="1"/>
  <c r="Q55" i="8"/>
  <c r="P55" i="8"/>
  <c r="O55" i="8"/>
  <c r="N55" i="8"/>
  <c r="H55" i="8"/>
  <c r="J55" i="8" s="1"/>
  <c r="Q54" i="8"/>
  <c r="P54" i="8"/>
  <c r="O54" i="8"/>
  <c r="N54" i="8"/>
  <c r="R54" i="8" s="1"/>
  <c r="T54" i="8" s="1"/>
  <c r="D54" i="8"/>
  <c r="N84" i="8" s="1"/>
  <c r="R84" i="8" s="1"/>
  <c r="I53" i="8"/>
  <c r="I57" i="8" s="1"/>
  <c r="I59" i="8" s="1"/>
  <c r="E53" i="8"/>
  <c r="E57" i="8" s="1"/>
  <c r="E59" i="8" s="1"/>
  <c r="Q52" i="8"/>
  <c r="P52" i="8"/>
  <c r="O52" i="8"/>
  <c r="N52" i="8"/>
  <c r="R52" i="8" s="1"/>
  <c r="T52" i="8" s="1"/>
  <c r="H52" i="8"/>
  <c r="J52" i="8" s="1"/>
  <c r="Q51" i="8"/>
  <c r="P51" i="8"/>
  <c r="O51" i="8"/>
  <c r="N51" i="8"/>
  <c r="J51" i="8"/>
  <c r="H51" i="8"/>
  <c r="I50" i="8"/>
  <c r="G50" i="8"/>
  <c r="G53" i="8" s="1"/>
  <c r="G57" i="8" s="1"/>
  <c r="G59" i="8" s="1"/>
  <c r="F50" i="8"/>
  <c r="F53" i="8" s="1"/>
  <c r="F57" i="8" s="1"/>
  <c r="F59" i="8" s="1"/>
  <c r="E50" i="8"/>
  <c r="Q49" i="8"/>
  <c r="P49" i="8"/>
  <c r="O49" i="8"/>
  <c r="H49" i="8"/>
  <c r="J49" i="8" s="1"/>
  <c r="D49" i="8"/>
  <c r="N79" i="8" s="1"/>
  <c r="Q48" i="8"/>
  <c r="Q50" i="8" s="1"/>
  <c r="P48" i="8"/>
  <c r="P50" i="8" s="1"/>
  <c r="P53" i="8" s="1"/>
  <c r="P57" i="8" s="1"/>
  <c r="P59" i="8" s="1"/>
  <c r="O48" i="8"/>
  <c r="O50" i="8" s="1"/>
  <c r="O53" i="8" s="1"/>
  <c r="N48" i="8"/>
  <c r="R48" i="8" s="1"/>
  <c r="J48" i="8"/>
  <c r="H48" i="8"/>
  <c r="S45" i="8"/>
  <c r="Q45" i="8"/>
  <c r="P45" i="8"/>
  <c r="O45" i="8"/>
  <c r="N45" i="8"/>
  <c r="J45" i="8"/>
  <c r="H45" i="8"/>
  <c r="S43" i="8"/>
  <c r="P43" i="8"/>
  <c r="O43" i="8"/>
  <c r="N43" i="8"/>
  <c r="H43" i="8"/>
  <c r="J43" i="8" s="1"/>
  <c r="S42" i="8"/>
  <c r="P42" i="8"/>
  <c r="O42" i="8"/>
  <c r="N42" i="8"/>
  <c r="H42" i="8"/>
  <c r="J42" i="8" s="1"/>
  <c r="S41" i="8"/>
  <c r="P41" i="8"/>
  <c r="O41" i="8"/>
  <c r="N41" i="8"/>
  <c r="H41" i="8"/>
  <c r="J41" i="8" s="1"/>
  <c r="S39" i="8"/>
  <c r="Q39" i="8"/>
  <c r="P39" i="8"/>
  <c r="O39" i="8"/>
  <c r="N39" i="8"/>
  <c r="R39" i="8" s="1"/>
  <c r="T39" i="8" s="1"/>
  <c r="J39" i="8"/>
  <c r="H39" i="8"/>
  <c r="S38" i="8"/>
  <c r="Q38" i="8"/>
  <c r="P38" i="8"/>
  <c r="O38" i="8"/>
  <c r="N38" i="8"/>
  <c r="H38" i="8"/>
  <c r="J38" i="8" s="1"/>
  <c r="P37" i="8"/>
  <c r="P40" i="8" s="1"/>
  <c r="P44" i="8" s="1"/>
  <c r="P46" i="8" s="1"/>
  <c r="I37" i="8"/>
  <c r="I40" i="8" s="1"/>
  <c r="I44" i="8" s="1"/>
  <c r="I46" i="8" s="1"/>
  <c r="G37" i="8"/>
  <c r="G40" i="8" s="1"/>
  <c r="G44" i="8" s="1"/>
  <c r="G46" i="8" s="1"/>
  <c r="F37" i="8"/>
  <c r="F40" i="8" s="1"/>
  <c r="F44" i="8" s="1"/>
  <c r="F46" i="8" s="1"/>
  <c r="E37" i="8"/>
  <c r="E40" i="8" s="1"/>
  <c r="E44" i="8" s="1"/>
  <c r="E46" i="8" s="1"/>
  <c r="D37" i="8"/>
  <c r="D40" i="8" s="1"/>
  <c r="S36" i="8"/>
  <c r="Q36" i="8"/>
  <c r="P36" i="8"/>
  <c r="O36" i="8"/>
  <c r="N36" i="8"/>
  <c r="R36" i="8" s="1"/>
  <c r="T36" i="8" s="1"/>
  <c r="J36" i="8"/>
  <c r="H36" i="8"/>
  <c r="S35" i="8"/>
  <c r="S37" i="8" s="1"/>
  <c r="S40" i="8" s="1"/>
  <c r="S44" i="8" s="1"/>
  <c r="S46" i="8" s="1"/>
  <c r="Q35" i="8"/>
  <c r="Q37" i="8" s="1"/>
  <c r="Q40" i="8" s="1"/>
  <c r="Q44" i="8" s="1"/>
  <c r="P35" i="8"/>
  <c r="O35" i="8"/>
  <c r="O37" i="8" s="1"/>
  <c r="N35" i="8"/>
  <c r="R35" i="8" s="1"/>
  <c r="T35" i="8" s="1"/>
  <c r="J35" i="8"/>
  <c r="H35" i="8"/>
  <c r="R28" i="8"/>
  <c r="I28" i="8"/>
  <c r="S58" i="8" s="1"/>
  <c r="H28" i="8"/>
  <c r="R26" i="8"/>
  <c r="I26" i="8"/>
  <c r="S56" i="8" s="1"/>
  <c r="H26" i="8"/>
  <c r="R25" i="8"/>
  <c r="S25" i="8" s="1"/>
  <c r="T25" i="8" s="1"/>
  <c r="I25" i="8"/>
  <c r="S55" i="8" s="1"/>
  <c r="H25" i="8"/>
  <c r="J25" i="8" s="1"/>
  <c r="R24" i="8"/>
  <c r="I24" i="8"/>
  <c r="S54" i="8" s="1"/>
  <c r="H24" i="8"/>
  <c r="P23" i="8"/>
  <c r="P27" i="8" s="1"/>
  <c r="P29" i="8" s="1"/>
  <c r="O23" i="8"/>
  <c r="O27" i="8" s="1"/>
  <c r="O29" i="8" s="1"/>
  <c r="D23" i="8"/>
  <c r="D27" i="8" s="1"/>
  <c r="R22" i="8"/>
  <c r="I22" i="8"/>
  <c r="S52" i="8" s="1"/>
  <c r="H22" i="8"/>
  <c r="R21" i="8"/>
  <c r="S21" i="8" s="1"/>
  <c r="T21" i="8" s="1"/>
  <c r="I21" i="8"/>
  <c r="S51" i="8" s="1"/>
  <c r="H21" i="8"/>
  <c r="J21" i="8" s="1"/>
  <c r="Q20" i="8"/>
  <c r="Q23" i="8" s="1"/>
  <c r="Q27" i="8" s="1"/>
  <c r="Q29" i="8" s="1"/>
  <c r="P20" i="8"/>
  <c r="O20" i="8"/>
  <c r="N20" i="8"/>
  <c r="G20" i="8"/>
  <c r="G23" i="8" s="1"/>
  <c r="G27" i="8" s="1"/>
  <c r="G29" i="8" s="1"/>
  <c r="F20" i="8"/>
  <c r="F23" i="8" s="1"/>
  <c r="F27" i="8" s="1"/>
  <c r="F29" i="8" s="1"/>
  <c r="E20" i="8"/>
  <c r="E23" i="8" s="1"/>
  <c r="D20" i="8"/>
  <c r="H20" i="8" s="1"/>
  <c r="I20" i="8" s="1"/>
  <c r="R19" i="8"/>
  <c r="S19" i="8" s="1"/>
  <c r="I19" i="8"/>
  <c r="S49" i="8" s="1"/>
  <c r="H19" i="8"/>
  <c r="J19" i="8" s="1"/>
  <c r="R18" i="8"/>
  <c r="S18" i="8" s="1"/>
  <c r="I18" i="8"/>
  <c r="H18" i="8"/>
  <c r="T15" i="8"/>
  <c r="R15" i="8"/>
  <c r="J15" i="8"/>
  <c r="H15" i="8"/>
  <c r="T13" i="8"/>
  <c r="R13" i="8"/>
  <c r="J13" i="8"/>
  <c r="H13" i="8"/>
  <c r="T12" i="8"/>
  <c r="R12" i="8"/>
  <c r="J12" i="8"/>
  <c r="H12" i="8"/>
  <c r="T11" i="8"/>
  <c r="R11" i="8"/>
  <c r="J11" i="8"/>
  <c r="H11" i="8"/>
  <c r="S10" i="8"/>
  <c r="S14" i="8" s="1"/>
  <c r="S16" i="8" s="1"/>
  <c r="P10" i="8"/>
  <c r="P14" i="8" s="1"/>
  <c r="P16" i="8" s="1"/>
  <c r="O10" i="8"/>
  <c r="O14" i="8" s="1"/>
  <c r="O16" i="8" s="1"/>
  <c r="N10" i="8"/>
  <c r="R10" i="8" s="1"/>
  <c r="T10" i="8" s="1"/>
  <c r="G10" i="8"/>
  <c r="G14" i="8" s="1"/>
  <c r="G16" i="8" s="1"/>
  <c r="D10" i="8"/>
  <c r="T9" i="8"/>
  <c r="R9" i="8"/>
  <c r="J9" i="8"/>
  <c r="H9" i="8"/>
  <c r="T8" i="8"/>
  <c r="R8" i="8"/>
  <c r="J8" i="8"/>
  <c r="H8" i="8"/>
  <c r="S7" i="8"/>
  <c r="Q7" i="8"/>
  <c r="Q10" i="8" s="1"/>
  <c r="Q14" i="8" s="1"/>
  <c r="Q16" i="8" s="1"/>
  <c r="P7" i="8"/>
  <c r="O7" i="8"/>
  <c r="N7" i="8"/>
  <c r="R7" i="8" s="1"/>
  <c r="T7" i="8" s="1"/>
  <c r="I7" i="8"/>
  <c r="I10" i="8" s="1"/>
  <c r="I14" i="8" s="1"/>
  <c r="I16" i="8" s="1"/>
  <c r="G7" i="8"/>
  <c r="F7" i="8"/>
  <c r="F10" i="8" s="1"/>
  <c r="F14" i="8" s="1"/>
  <c r="F16" i="8" s="1"/>
  <c r="E7" i="8"/>
  <c r="E10" i="8" s="1"/>
  <c r="E14" i="8" s="1"/>
  <c r="E16" i="8" s="1"/>
  <c r="D7" i="8"/>
  <c r="H7" i="8" s="1"/>
  <c r="J7" i="8" s="1"/>
  <c r="T6" i="8"/>
  <c r="R6" i="8"/>
  <c r="J6" i="8"/>
  <c r="H6" i="8"/>
  <c r="T5" i="8"/>
  <c r="R5" i="8"/>
  <c r="J5" i="8"/>
  <c r="H5" i="8"/>
  <c r="H50" i="5"/>
  <c r="J50" i="5" s="1"/>
  <c r="H48" i="5"/>
  <c r="J48" i="5" s="1"/>
  <c r="H47" i="5"/>
  <c r="J47" i="5" s="1"/>
  <c r="H46" i="5"/>
  <c r="J46" i="5" s="1"/>
  <c r="H44" i="5"/>
  <c r="J44" i="5" s="1"/>
  <c r="H43" i="5"/>
  <c r="J43" i="5" s="1"/>
  <c r="I42" i="5"/>
  <c r="I45" i="5" s="1"/>
  <c r="I49" i="5" s="1"/>
  <c r="I51" i="5" s="1"/>
  <c r="G42" i="5"/>
  <c r="G45" i="5" s="1"/>
  <c r="G49" i="5" s="1"/>
  <c r="G51" i="5" s="1"/>
  <c r="F42" i="5"/>
  <c r="F45" i="5" s="1"/>
  <c r="F49" i="5" s="1"/>
  <c r="F51" i="5" s="1"/>
  <c r="E42" i="5"/>
  <c r="E45" i="5" s="1"/>
  <c r="E49" i="5" s="1"/>
  <c r="E51" i="5" s="1"/>
  <c r="D42" i="5"/>
  <c r="H41" i="5"/>
  <c r="J41" i="5" s="1"/>
  <c r="H40" i="5"/>
  <c r="J40" i="5" s="1"/>
  <c r="H42" i="5" l="1"/>
  <c r="J42" i="5" s="1"/>
  <c r="E27" i="8"/>
  <c r="E29" i="8" s="1"/>
  <c r="T48" i="8"/>
  <c r="N74" i="8"/>
  <c r="R70" i="8"/>
  <c r="N14" i="8"/>
  <c r="N23" i="8"/>
  <c r="R20" i="8"/>
  <c r="D29" i="8"/>
  <c r="H27" i="8"/>
  <c r="S24" i="8"/>
  <c r="T24" i="8" s="1"/>
  <c r="Q46" i="8"/>
  <c r="R41" i="8"/>
  <c r="T41" i="8" s="1"/>
  <c r="R43" i="8"/>
  <c r="T43" i="8" s="1"/>
  <c r="Q53" i="8"/>
  <c r="Q57" i="8" s="1"/>
  <c r="Q59" i="8" s="1"/>
  <c r="R51" i="8"/>
  <c r="T51" i="8" s="1"/>
  <c r="H10" i="8"/>
  <c r="J10" i="8" s="1"/>
  <c r="J20" i="8"/>
  <c r="T26" i="8"/>
  <c r="S26" i="8"/>
  <c r="R67" i="8"/>
  <c r="T75" i="8"/>
  <c r="I27" i="8"/>
  <c r="S22" i="8"/>
  <c r="T22" i="8" s="1"/>
  <c r="J18" i="8"/>
  <c r="S48" i="8"/>
  <c r="S50" i="8" s="1"/>
  <c r="S53" i="8" s="1"/>
  <c r="S57" i="8" s="1"/>
  <c r="S59" i="8" s="1"/>
  <c r="T18" i="8"/>
  <c r="T19" i="8"/>
  <c r="S28" i="8"/>
  <c r="T28" i="8" s="1"/>
  <c r="O40" i="8"/>
  <c r="O44" i="8" s="1"/>
  <c r="O46" i="8" s="1"/>
  <c r="H40" i="8"/>
  <c r="J40" i="8" s="1"/>
  <c r="D44" i="8"/>
  <c r="R38" i="8"/>
  <c r="T38" i="8" s="1"/>
  <c r="R42" i="8"/>
  <c r="T42" i="8" s="1"/>
  <c r="R45" i="8"/>
  <c r="T45" i="8" s="1"/>
  <c r="O57" i="8"/>
  <c r="O59" i="8" s="1"/>
  <c r="D74" i="8"/>
  <c r="H70" i="8"/>
  <c r="J70" i="8" s="1"/>
  <c r="S102" i="8"/>
  <c r="J72" i="8"/>
  <c r="S72" i="8"/>
  <c r="T72" i="8" s="1"/>
  <c r="N87" i="8"/>
  <c r="R83" i="8"/>
  <c r="T98" i="8"/>
  <c r="T102" i="8"/>
  <c r="S80" i="8"/>
  <c r="J82" i="8"/>
  <c r="S82" i="8"/>
  <c r="T82" i="8" s="1"/>
  <c r="D14" i="8"/>
  <c r="D50" i="8"/>
  <c r="T84" i="8"/>
  <c r="R55" i="8"/>
  <c r="T55" i="8" s="1"/>
  <c r="Q70" i="8"/>
  <c r="Q74" i="8" s="1"/>
  <c r="Q76" i="8" s="1"/>
  <c r="R68" i="8"/>
  <c r="T68" i="8" s="1"/>
  <c r="J69" i="8"/>
  <c r="S69" i="8"/>
  <c r="R80" i="8"/>
  <c r="S118" i="8"/>
  <c r="J88" i="8"/>
  <c r="S88" i="8"/>
  <c r="R101" i="8"/>
  <c r="T101" i="8" s="1"/>
  <c r="R105" i="8"/>
  <c r="N37" i="8"/>
  <c r="N49" i="8"/>
  <c r="R49" i="8" s="1"/>
  <c r="T49" i="8" s="1"/>
  <c r="R65" i="8"/>
  <c r="T65" i="8" s="1"/>
  <c r="J66" i="8"/>
  <c r="S96" i="8"/>
  <c r="S97" i="8" s="1"/>
  <c r="S100" i="8" s="1"/>
  <c r="S104" i="8" s="1"/>
  <c r="S106" i="8" s="1"/>
  <c r="S66" i="8"/>
  <c r="S67" i="8" s="1"/>
  <c r="S70" i="8" s="1"/>
  <c r="S74" i="8" s="1"/>
  <c r="S76" i="8" s="1"/>
  <c r="R69" i="8"/>
  <c r="R78" i="8"/>
  <c r="T78" i="8" s="1"/>
  <c r="J79" i="8"/>
  <c r="S109" i="8"/>
  <c r="T109" i="8" s="1"/>
  <c r="S79" i="8"/>
  <c r="S115" i="8"/>
  <c r="T115" i="8" s="1"/>
  <c r="J85" i="8"/>
  <c r="S85" i="8"/>
  <c r="R88" i="8"/>
  <c r="N100" i="8"/>
  <c r="R97" i="8"/>
  <c r="S99" i="8"/>
  <c r="T99" i="8" s="1"/>
  <c r="R114" i="8"/>
  <c r="T114" i="8" s="1"/>
  <c r="R118" i="8"/>
  <c r="T118" i="8" s="1"/>
  <c r="J22" i="8"/>
  <c r="H23" i="8"/>
  <c r="J24" i="8"/>
  <c r="J26" i="8"/>
  <c r="J28" i="8"/>
  <c r="H37" i="8"/>
  <c r="J37" i="8" s="1"/>
  <c r="R79" i="8"/>
  <c r="T79" i="8" s="1"/>
  <c r="R56" i="8"/>
  <c r="T56" i="8" s="1"/>
  <c r="O74" i="8"/>
  <c r="O76" i="8" s="1"/>
  <c r="R66" i="8"/>
  <c r="R73" i="8"/>
  <c r="T73" i="8" s="1"/>
  <c r="S105" i="8"/>
  <c r="J75" i="8"/>
  <c r="S75" i="8"/>
  <c r="D87" i="8"/>
  <c r="H83" i="8"/>
  <c r="J83" i="8" s="1"/>
  <c r="R85" i="8"/>
  <c r="R96" i="8"/>
  <c r="N113" i="8"/>
  <c r="R110" i="8"/>
  <c r="R112" i="8"/>
  <c r="S112" i="8"/>
  <c r="R116" i="8"/>
  <c r="T116" i="8" s="1"/>
  <c r="H54" i="8"/>
  <c r="J54" i="8" s="1"/>
  <c r="R95" i="8"/>
  <c r="T95" i="8" s="1"/>
  <c r="R108" i="8"/>
  <c r="T108" i="8" s="1"/>
  <c r="H67" i="8"/>
  <c r="J67" i="8" s="1"/>
  <c r="H80" i="8"/>
  <c r="J80" i="8" s="1"/>
  <c r="S98" i="8"/>
  <c r="S111" i="8"/>
  <c r="T111" i="8" s="1"/>
  <c r="S71" i="8"/>
  <c r="T71" i="8" s="1"/>
  <c r="S84" i="8"/>
  <c r="D45" i="5"/>
  <c r="R87" i="8" l="1"/>
  <c r="N89" i="8"/>
  <c r="R89" i="8" s="1"/>
  <c r="J27" i="8"/>
  <c r="N27" i="8"/>
  <c r="R23" i="8"/>
  <c r="N117" i="8"/>
  <c r="R113" i="8"/>
  <c r="T97" i="8"/>
  <c r="R14" i="8"/>
  <c r="T14" i="8" s="1"/>
  <c r="N16" i="8"/>
  <c r="R16" i="8" s="1"/>
  <c r="T16" i="8" s="1"/>
  <c r="T112" i="8"/>
  <c r="T66" i="8"/>
  <c r="H50" i="8"/>
  <c r="J50" i="8" s="1"/>
  <c r="D53" i="8"/>
  <c r="T67" i="8"/>
  <c r="T20" i="8"/>
  <c r="T70" i="8"/>
  <c r="H87" i="8"/>
  <c r="J87" i="8" s="1"/>
  <c r="D89" i="8"/>
  <c r="H89" i="8" s="1"/>
  <c r="J89" i="8" s="1"/>
  <c r="N40" i="8"/>
  <c r="R37" i="8"/>
  <c r="T37" i="8" s="1"/>
  <c r="N50" i="8"/>
  <c r="H29" i="8"/>
  <c r="I29" i="8"/>
  <c r="T96" i="8"/>
  <c r="N104" i="8"/>
  <c r="R100" i="8"/>
  <c r="T100" i="8" s="1"/>
  <c r="T105" i="8"/>
  <c r="S83" i="8"/>
  <c r="S87" i="8" s="1"/>
  <c r="S89" i="8" s="1"/>
  <c r="H74" i="8"/>
  <c r="J74" i="8" s="1"/>
  <c r="D76" i="8"/>
  <c r="H76" i="8" s="1"/>
  <c r="J76" i="8" s="1"/>
  <c r="S110" i="8"/>
  <c r="S113" i="8" s="1"/>
  <c r="S117" i="8" s="1"/>
  <c r="S119" i="8" s="1"/>
  <c r="T85" i="8"/>
  <c r="T88" i="8"/>
  <c r="T69" i="8"/>
  <c r="T80" i="8"/>
  <c r="D16" i="8"/>
  <c r="H16" i="8" s="1"/>
  <c r="J16" i="8" s="1"/>
  <c r="H14" i="8"/>
  <c r="J14" i="8" s="1"/>
  <c r="H44" i="8"/>
  <c r="J44" i="8" s="1"/>
  <c r="D46" i="8"/>
  <c r="H46" i="8" s="1"/>
  <c r="J46" i="8" s="1"/>
  <c r="S20" i="8"/>
  <c r="R74" i="8"/>
  <c r="T74" i="8" s="1"/>
  <c r="N76" i="8"/>
  <c r="R76" i="8" s="1"/>
  <c r="T76" i="8" s="1"/>
  <c r="I23" i="8"/>
  <c r="J23" i="8" s="1"/>
  <c r="D49" i="5"/>
  <c r="H45" i="5"/>
  <c r="J45" i="5" s="1"/>
  <c r="R117" i="8" l="1"/>
  <c r="T117" i="8" s="1"/>
  <c r="N119" i="8"/>
  <c r="R119" i="8" s="1"/>
  <c r="T119" i="8" s="1"/>
  <c r="R40" i="8"/>
  <c r="T40" i="8" s="1"/>
  <c r="N44" i="8"/>
  <c r="T89" i="8"/>
  <c r="T83" i="8"/>
  <c r="J29" i="8"/>
  <c r="S27" i="8"/>
  <c r="N29" i="8"/>
  <c r="R27" i="8"/>
  <c r="T87" i="8"/>
  <c r="R104" i="8"/>
  <c r="T104" i="8" s="1"/>
  <c r="N106" i="8"/>
  <c r="R106" i="8" s="1"/>
  <c r="T106" i="8" s="1"/>
  <c r="N53" i="8"/>
  <c r="R50" i="8"/>
  <c r="T50" i="8" s="1"/>
  <c r="D57" i="8"/>
  <c r="H53" i="8"/>
  <c r="J53" i="8" s="1"/>
  <c r="T113" i="8"/>
  <c r="S23" i="8"/>
  <c r="T23" i="8" s="1"/>
  <c r="T110" i="8"/>
  <c r="H49" i="5"/>
  <c r="J49" i="5" s="1"/>
  <c r="D51" i="5"/>
  <c r="H51" i="5" s="1"/>
  <c r="J51" i="5" s="1"/>
  <c r="N46" i="8" l="1"/>
  <c r="R46" i="8" s="1"/>
  <c r="T46" i="8" s="1"/>
  <c r="R44" i="8"/>
  <c r="T44" i="8" s="1"/>
  <c r="N57" i="8"/>
  <c r="R53" i="8"/>
  <c r="T53" i="8" s="1"/>
  <c r="T27" i="8"/>
  <c r="R29" i="8"/>
  <c r="H57" i="8"/>
  <c r="J57" i="8" s="1"/>
  <c r="D59" i="8"/>
  <c r="H59" i="8" s="1"/>
  <c r="J59" i="8" s="1"/>
  <c r="R57" i="8" l="1"/>
  <c r="T57" i="8" s="1"/>
  <c r="N59" i="8"/>
  <c r="R59" i="8" s="1"/>
  <c r="T59" i="8" s="1"/>
  <c r="S29" i="8"/>
  <c r="T29" i="8" s="1"/>
  <c r="S118" i="7" l="1"/>
  <c r="Q118" i="7"/>
  <c r="P118" i="7"/>
  <c r="O118" i="7"/>
  <c r="N118" i="7"/>
  <c r="J118" i="7"/>
  <c r="H118" i="7"/>
  <c r="G117" i="7"/>
  <c r="G119" i="7" s="1"/>
  <c r="S116" i="7"/>
  <c r="Q116" i="7"/>
  <c r="P116" i="7"/>
  <c r="O116" i="7"/>
  <c r="N116" i="7"/>
  <c r="H116" i="7"/>
  <c r="J116" i="7" s="1"/>
  <c r="S115" i="7"/>
  <c r="Q115" i="7"/>
  <c r="P115" i="7"/>
  <c r="O115" i="7"/>
  <c r="N115" i="7"/>
  <c r="R115" i="7" s="1"/>
  <c r="T115" i="7" s="1"/>
  <c r="J115" i="7"/>
  <c r="H115" i="7"/>
  <c r="S114" i="7"/>
  <c r="Q114" i="7"/>
  <c r="P114" i="7"/>
  <c r="O114" i="7"/>
  <c r="N114" i="7"/>
  <c r="R114" i="7" s="1"/>
  <c r="T114" i="7" s="1"/>
  <c r="H114" i="7"/>
  <c r="J114" i="7" s="1"/>
  <c r="H113" i="7"/>
  <c r="J113" i="7" s="1"/>
  <c r="D113" i="7"/>
  <c r="D117" i="7" s="1"/>
  <c r="D119" i="7" s="1"/>
  <c r="S112" i="7"/>
  <c r="Q112" i="7"/>
  <c r="P112" i="7"/>
  <c r="O112" i="7"/>
  <c r="N112" i="7"/>
  <c r="R112" i="7" s="1"/>
  <c r="T112" i="7" s="1"/>
  <c r="G112" i="7"/>
  <c r="H112" i="7" s="1"/>
  <c r="J112" i="7" s="1"/>
  <c r="S111" i="7"/>
  <c r="Q111" i="7"/>
  <c r="P111" i="7"/>
  <c r="O111" i="7"/>
  <c r="N111" i="7"/>
  <c r="J111" i="7"/>
  <c r="H111" i="7"/>
  <c r="P110" i="7"/>
  <c r="P113" i="7" s="1"/>
  <c r="I110" i="7"/>
  <c r="I113" i="7" s="1"/>
  <c r="I117" i="7" s="1"/>
  <c r="I119" i="7" s="1"/>
  <c r="G110" i="7"/>
  <c r="G113" i="7" s="1"/>
  <c r="F110" i="7"/>
  <c r="F113" i="7" s="1"/>
  <c r="F117" i="7" s="1"/>
  <c r="F119" i="7" s="1"/>
  <c r="E110" i="7"/>
  <c r="E113" i="7" s="1"/>
  <c r="E117" i="7" s="1"/>
  <c r="E119" i="7" s="1"/>
  <c r="D110" i="7"/>
  <c r="S109" i="7"/>
  <c r="Q109" i="7"/>
  <c r="P109" i="7"/>
  <c r="O109" i="7"/>
  <c r="N109" i="7"/>
  <c r="R109" i="7" s="1"/>
  <c r="T109" i="7" s="1"/>
  <c r="H109" i="7"/>
  <c r="J109" i="7" s="1"/>
  <c r="S108" i="7"/>
  <c r="S110" i="7" s="1"/>
  <c r="S113" i="7" s="1"/>
  <c r="S117" i="7" s="1"/>
  <c r="S119" i="7" s="1"/>
  <c r="Q108" i="7"/>
  <c r="Q110" i="7" s="1"/>
  <c r="Q113" i="7" s="1"/>
  <c r="Q117" i="7" s="1"/>
  <c r="P108" i="7"/>
  <c r="O108" i="7"/>
  <c r="O110" i="7" s="1"/>
  <c r="O113" i="7" s="1"/>
  <c r="O117" i="7" s="1"/>
  <c r="O119" i="7" s="1"/>
  <c r="N108" i="7"/>
  <c r="J108" i="7"/>
  <c r="H108" i="7"/>
  <c r="S105" i="7"/>
  <c r="Q105" i="7"/>
  <c r="P105" i="7"/>
  <c r="O105" i="7"/>
  <c r="N105" i="7"/>
  <c r="R105" i="7" s="1"/>
  <c r="T105" i="7" s="1"/>
  <c r="H105" i="7"/>
  <c r="J105" i="7" s="1"/>
  <c r="S103" i="7"/>
  <c r="Q103" i="7"/>
  <c r="P103" i="7"/>
  <c r="O103" i="7"/>
  <c r="N103" i="7"/>
  <c r="R103" i="7" s="1"/>
  <c r="T103" i="7" s="1"/>
  <c r="J103" i="7"/>
  <c r="H103" i="7"/>
  <c r="S102" i="7"/>
  <c r="Q102" i="7"/>
  <c r="P102" i="7"/>
  <c r="O102" i="7"/>
  <c r="N102" i="7"/>
  <c r="R102" i="7" s="1"/>
  <c r="T102" i="7" s="1"/>
  <c r="H102" i="7"/>
  <c r="J102" i="7" s="1"/>
  <c r="S101" i="7"/>
  <c r="Q101" i="7"/>
  <c r="P101" i="7"/>
  <c r="O101" i="7"/>
  <c r="N101" i="7"/>
  <c r="J101" i="7"/>
  <c r="H101" i="7"/>
  <c r="S99" i="7"/>
  <c r="Q99" i="7"/>
  <c r="P99" i="7"/>
  <c r="O99" i="7"/>
  <c r="N99" i="7"/>
  <c r="R99" i="7" s="1"/>
  <c r="T99" i="7" s="1"/>
  <c r="H99" i="7"/>
  <c r="J99" i="7" s="1"/>
  <c r="S98" i="7"/>
  <c r="Q98" i="7"/>
  <c r="P98" i="7"/>
  <c r="O98" i="7"/>
  <c r="N98" i="7"/>
  <c r="R98" i="7" s="1"/>
  <c r="T98" i="7" s="1"/>
  <c r="J98" i="7"/>
  <c r="H98" i="7"/>
  <c r="P97" i="7"/>
  <c r="P100" i="7" s="1"/>
  <c r="P104" i="7" s="1"/>
  <c r="P106" i="7" s="1"/>
  <c r="I97" i="7"/>
  <c r="I100" i="7" s="1"/>
  <c r="I104" i="7" s="1"/>
  <c r="I106" i="7" s="1"/>
  <c r="G97" i="7"/>
  <c r="G100" i="7" s="1"/>
  <c r="G104" i="7" s="1"/>
  <c r="G106" i="7" s="1"/>
  <c r="F97" i="7"/>
  <c r="F100" i="7" s="1"/>
  <c r="F104" i="7" s="1"/>
  <c r="F106" i="7" s="1"/>
  <c r="E97" i="7"/>
  <c r="E100" i="7" s="1"/>
  <c r="E104" i="7" s="1"/>
  <c r="E106" i="7" s="1"/>
  <c r="D97" i="7"/>
  <c r="D100" i="7" s="1"/>
  <c r="S96" i="7"/>
  <c r="Q96" i="7"/>
  <c r="P96" i="7"/>
  <c r="O96" i="7"/>
  <c r="N96" i="7"/>
  <c r="N97" i="7" s="1"/>
  <c r="H96" i="7"/>
  <c r="J96" i="7" s="1"/>
  <c r="S95" i="7"/>
  <c r="S97" i="7" s="1"/>
  <c r="Q95" i="7"/>
  <c r="Q97" i="7" s="1"/>
  <c r="Q100" i="7" s="1"/>
  <c r="Q104" i="7" s="1"/>
  <c r="Q106" i="7" s="1"/>
  <c r="P95" i="7"/>
  <c r="O95" i="7"/>
  <c r="O97" i="7" s="1"/>
  <c r="O100" i="7" s="1"/>
  <c r="O104" i="7" s="1"/>
  <c r="O106" i="7" s="1"/>
  <c r="N95" i="7"/>
  <c r="J95" i="7"/>
  <c r="H95" i="7"/>
  <c r="S88" i="7"/>
  <c r="Q88" i="7"/>
  <c r="P88" i="7"/>
  <c r="O88" i="7"/>
  <c r="N88" i="7"/>
  <c r="R88" i="7" s="1"/>
  <c r="T88" i="7" s="1"/>
  <c r="H88" i="7"/>
  <c r="J88" i="7" s="1"/>
  <c r="S86" i="7"/>
  <c r="Q86" i="7"/>
  <c r="P86" i="7"/>
  <c r="O86" i="7"/>
  <c r="N86" i="7"/>
  <c r="J86" i="7"/>
  <c r="H86" i="7"/>
  <c r="S85" i="7"/>
  <c r="Q85" i="7"/>
  <c r="P85" i="7"/>
  <c r="O85" i="7"/>
  <c r="N85" i="7"/>
  <c r="R85" i="7" s="1"/>
  <c r="T85" i="7" s="1"/>
  <c r="H85" i="7"/>
  <c r="J85" i="7" s="1"/>
  <c r="S84" i="7"/>
  <c r="Q84" i="7"/>
  <c r="P84" i="7"/>
  <c r="O84" i="7"/>
  <c r="N84" i="7"/>
  <c r="J84" i="7"/>
  <c r="H84" i="7"/>
  <c r="P83" i="7"/>
  <c r="P87" i="7" s="1"/>
  <c r="P89" i="7" s="1"/>
  <c r="S82" i="7"/>
  <c r="Q82" i="7"/>
  <c r="P82" i="7"/>
  <c r="O82" i="7"/>
  <c r="N82" i="7"/>
  <c r="R82" i="7" s="1"/>
  <c r="T82" i="7" s="1"/>
  <c r="H82" i="7"/>
  <c r="J82" i="7" s="1"/>
  <c r="S81" i="7"/>
  <c r="Q81" i="7"/>
  <c r="P81" i="7"/>
  <c r="O81" i="7"/>
  <c r="N81" i="7"/>
  <c r="J81" i="7"/>
  <c r="H81" i="7"/>
  <c r="P80" i="7"/>
  <c r="I80" i="7"/>
  <c r="I83" i="7" s="1"/>
  <c r="I87" i="7" s="1"/>
  <c r="I89" i="7" s="1"/>
  <c r="G80" i="7"/>
  <c r="G83" i="7" s="1"/>
  <c r="G87" i="7" s="1"/>
  <c r="G89" i="7" s="1"/>
  <c r="F80" i="7"/>
  <c r="F83" i="7" s="1"/>
  <c r="F87" i="7" s="1"/>
  <c r="F89" i="7" s="1"/>
  <c r="E80" i="7"/>
  <c r="E83" i="7" s="1"/>
  <c r="E87" i="7" s="1"/>
  <c r="E89" i="7" s="1"/>
  <c r="D80" i="7"/>
  <c r="D83" i="7" s="1"/>
  <c r="S79" i="7"/>
  <c r="Q79" i="7"/>
  <c r="P79" i="7"/>
  <c r="O79" i="7"/>
  <c r="N79" i="7"/>
  <c r="N80" i="7" s="1"/>
  <c r="H79" i="7"/>
  <c r="J79" i="7" s="1"/>
  <c r="S78" i="7"/>
  <c r="S80" i="7" s="1"/>
  <c r="S83" i="7" s="1"/>
  <c r="S87" i="7" s="1"/>
  <c r="S89" i="7" s="1"/>
  <c r="Q78" i="7"/>
  <c r="Q80" i="7" s="1"/>
  <c r="Q83" i="7" s="1"/>
  <c r="P78" i="7"/>
  <c r="O78" i="7"/>
  <c r="O80" i="7" s="1"/>
  <c r="N78" i="7"/>
  <c r="R78" i="7" s="1"/>
  <c r="T78" i="7" s="1"/>
  <c r="J78" i="7"/>
  <c r="H78" i="7"/>
  <c r="S75" i="7"/>
  <c r="Q75" i="7"/>
  <c r="P75" i="7"/>
  <c r="O75" i="7"/>
  <c r="N75" i="7"/>
  <c r="R75" i="7" s="1"/>
  <c r="T75" i="7" s="1"/>
  <c r="H75" i="7"/>
  <c r="J75" i="7" s="1"/>
  <c r="D74" i="7"/>
  <c r="D76" i="7" s="1"/>
  <c r="S73" i="7"/>
  <c r="Q73" i="7"/>
  <c r="P73" i="7"/>
  <c r="O73" i="7"/>
  <c r="N73" i="7"/>
  <c r="R73" i="7" s="1"/>
  <c r="T73" i="7" s="1"/>
  <c r="J73" i="7"/>
  <c r="H73" i="7"/>
  <c r="S72" i="7"/>
  <c r="Q72" i="7"/>
  <c r="P72" i="7"/>
  <c r="O72" i="7"/>
  <c r="N72" i="7"/>
  <c r="R72" i="7" s="1"/>
  <c r="T72" i="7" s="1"/>
  <c r="H72" i="7"/>
  <c r="J72" i="7" s="1"/>
  <c r="S71" i="7"/>
  <c r="Q71" i="7"/>
  <c r="P71" i="7"/>
  <c r="O71" i="7"/>
  <c r="N71" i="7"/>
  <c r="R71" i="7" s="1"/>
  <c r="T71" i="7" s="1"/>
  <c r="J71" i="7"/>
  <c r="H71" i="7"/>
  <c r="I70" i="7"/>
  <c r="I74" i="7" s="1"/>
  <c r="I76" i="7" s="1"/>
  <c r="T69" i="7"/>
  <c r="S69" i="7"/>
  <c r="Q69" i="7"/>
  <c r="P69" i="7"/>
  <c r="O69" i="7"/>
  <c r="N69" i="7"/>
  <c r="R69" i="7" s="1"/>
  <c r="H69" i="7"/>
  <c r="J69" i="7" s="1"/>
  <c r="S68" i="7"/>
  <c r="Q68" i="7"/>
  <c r="P68" i="7"/>
  <c r="O68" i="7"/>
  <c r="N68" i="7"/>
  <c r="R68" i="7" s="1"/>
  <c r="T68" i="7" s="1"/>
  <c r="J68" i="7"/>
  <c r="H68" i="7"/>
  <c r="I67" i="7"/>
  <c r="G67" i="7"/>
  <c r="G70" i="7" s="1"/>
  <c r="G74" i="7" s="1"/>
  <c r="G76" i="7" s="1"/>
  <c r="F67" i="7"/>
  <c r="F70" i="7" s="1"/>
  <c r="F74" i="7" s="1"/>
  <c r="F76" i="7" s="1"/>
  <c r="E67" i="7"/>
  <c r="E70" i="7" s="1"/>
  <c r="E74" i="7" s="1"/>
  <c r="E76" i="7" s="1"/>
  <c r="D67" i="7"/>
  <c r="D70" i="7" s="1"/>
  <c r="S66" i="7"/>
  <c r="Q66" i="7"/>
  <c r="P66" i="7"/>
  <c r="O66" i="7"/>
  <c r="N66" i="7"/>
  <c r="H66" i="7"/>
  <c r="J66" i="7" s="1"/>
  <c r="S65" i="7"/>
  <c r="S67" i="7" s="1"/>
  <c r="Q65" i="7"/>
  <c r="Q67" i="7" s="1"/>
  <c r="P65" i="7"/>
  <c r="P67" i="7" s="1"/>
  <c r="P70" i="7" s="1"/>
  <c r="P74" i="7" s="1"/>
  <c r="P76" i="7" s="1"/>
  <c r="O65" i="7"/>
  <c r="O67" i="7" s="1"/>
  <c r="O70" i="7" s="1"/>
  <c r="O74" i="7" s="1"/>
  <c r="O76" i="7" s="1"/>
  <c r="N65" i="7"/>
  <c r="N67" i="7" s="1"/>
  <c r="N70" i="7" s="1"/>
  <c r="H65" i="7"/>
  <c r="J65" i="7" s="1"/>
  <c r="S58" i="7"/>
  <c r="Q58" i="7"/>
  <c r="P58" i="7"/>
  <c r="O58" i="7"/>
  <c r="N58" i="7"/>
  <c r="J58" i="7"/>
  <c r="H58" i="7"/>
  <c r="S56" i="7"/>
  <c r="Q56" i="7"/>
  <c r="P56" i="7"/>
  <c r="O56" i="7"/>
  <c r="N56" i="7"/>
  <c r="R56" i="7" s="1"/>
  <c r="T56" i="7" s="1"/>
  <c r="J56" i="7"/>
  <c r="H56" i="7"/>
  <c r="S55" i="7"/>
  <c r="Q55" i="7"/>
  <c r="P55" i="7"/>
  <c r="O55" i="7"/>
  <c r="N55" i="7"/>
  <c r="R55" i="7" s="1"/>
  <c r="T55" i="7" s="1"/>
  <c r="J55" i="7"/>
  <c r="H55" i="7"/>
  <c r="S54" i="7"/>
  <c r="Q54" i="7"/>
  <c r="P54" i="7"/>
  <c r="O54" i="7"/>
  <c r="N54" i="7"/>
  <c r="R54" i="7" s="1"/>
  <c r="T54" i="7" s="1"/>
  <c r="H54" i="7"/>
  <c r="J54" i="7" s="1"/>
  <c r="F53" i="7"/>
  <c r="F57" i="7" s="1"/>
  <c r="F59" i="7" s="1"/>
  <c r="S52" i="7"/>
  <c r="Q52" i="7"/>
  <c r="O52" i="7"/>
  <c r="N52" i="7"/>
  <c r="R52" i="7" s="1"/>
  <c r="T52" i="7" s="1"/>
  <c r="J52" i="7"/>
  <c r="H52" i="7"/>
  <c r="S51" i="7"/>
  <c r="Q51" i="7"/>
  <c r="P51" i="7"/>
  <c r="O51" i="7"/>
  <c r="N51" i="7"/>
  <c r="R51" i="7" s="1"/>
  <c r="T51" i="7" s="1"/>
  <c r="H51" i="7"/>
  <c r="J51" i="7" s="1"/>
  <c r="Q50" i="7"/>
  <c r="Q53" i="7" s="1"/>
  <c r="Q57" i="7" s="1"/>
  <c r="Q59" i="7" s="1"/>
  <c r="I50" i="7"/>
  <c r="I53" i="7" s="1"/>
  <c r="I57" i="7" s="1"/>
  <c r="I59" i="7" s="1"/>
  <c r="G50" i="7"/>
  <c r="G53" i="7" s="1"/>
  <c r="G57" i="7" s="1"/>
  <c r="G59" i="7" s="1"/>
  <c r="F50" i="7"/>
  <c r="E50" i="7"/>
  <c r="E53" i="7" s="1"/>
  <c r="E57" i="7" s="1"/>
  <c r="E59" i="7" s="1"/>
  <c r="D50" i="7"/>
  <c r="D53" i="7" s="1"/>
  <c r="S49" i="7"/>
  <c r="Q49" i="7"/>
  <c r="O49" i="7"/>
  <c r="N49" i="7"/>
  <c r="R49" i="7" s="1"/>
  <c r="T49" i="7" s="1"/>
  <c r="J49" i="7"/>
  <c r="H49" i="7"/>
  <c r="S48" i="7"/>
  <c r="S50" i="7" s="1"/>
  <c r="S53" i="7" s="1"/>
  <c r="S57" i="7" s="1"/>
  <c r="S59" i="7" s="1"/>
  <c r="Q48" i="7"/>
  <c r="P48" i="7"/>
  <c r="O48" i="7"/>
  <c r="O50" i="7" s="1"/>
  <c r="O53" i="7" s="1"/>
  <c r="O57" i="7" s="1"/>
  <c r="N48" i="7"/>
  <c r="N50" i="7" s="1"/>
  <c r="H48" i="7"/>
  <c r="J48" i="7" s="1"/>
  <c r="F46" i="7"/>
  <c r="S45" i="7"/>
  <c r="Q45" i="7"/>
  <c r="P45" i="7"/>
  <c r="O45" i="7"/>
  <c r="N45" i="7"/>
  <c r="J45" i="7"/>
  <c r="H45" i="7"/>
  <c r="S43" i="7"/>
  <c r="R43" i="7"/>
  <c r="T43" i="7" s="1"/>
  <c r="P43" i="7"/>
  <c r="O43" i="7"/>
  <c r="N43" i="7"/>
  <c r="J43" i="7"/>
  <c r="H43" i="7"/>
  <c r="S42" i="7"/>
  <c r="R42" i="7"/>
  <c r="T42" i="7" s="1"/>
  <c r="P42" i="7"/>
  <c r="O42" i="7"/>
  <c r="N42" i="7"/>
  <c r="J42" i="7"/>
  <c r="H42" i="7"/>
  <c r="S41" i="7"/>
  <c r="R41" i="7"/>
  <c r="T41" i="7" s="1"/>
  <c r="P41" i="7"/>
  <c r="O41" i="7"/>
  <c r="N41" i="7"/>
  <c r="J41" i="7"/>
  <c r="H41" i="7"/>
  <c r="T39" i="7"/>
  <c r="S39" i="7"/>
  <c r="Q39" i="7"/>
  <c r="P39" i="7"/>
  <c r="O39" i="7"/>
  <c r="N39" i="7"/>
  <c r="R39" i="7" s="1"/>
  <c r="H39" i="7"/>
  <c r="J39" i="7" s="1"/>
  <c r="S38" i="7"/>
  <c r="Q38" i="7"/>
  <c r="P38" i="7"/>
  <c r="O38" i="7"/>
  <c r="N38" i="7"/>
  <c r="J38" i="7"/>
  <c r="H38" i="7"/>
  <c r="N37" i="7"/>
  <c r="N40" i="7" s="1"/>
  <c r="I37" i="7"/>
  <c r="I40" i="7" s="1"/>
  <c r="I44" i="7" s="1"/>
  <c r="I46" i="7" s="1"/>
  <c r="G37" i="7"/>
  <c r="G40" i="7" s="1"/>
  <c r="G44" i="7" s="1"/>
  <c r="G46" i="7" s="1"/>
  <c r="F37" i="7"/>
  <c r="F40" i="7" s="1"/>
  <c r="F44" i="7" s="1"/>
  <c r="E37" i="7"/>
  <c r="E40" i="7" s="1"/>
  <c r="E44" i="7" s="1"/>
  <c r="E46" i="7" s="1"/>
  <c r="D37" i="7"/>
  <c r="D40" i="7" s="1"/>
  <c r="S36" i="7"/>
  <c r="Q36" i="7"/>
  <c r="P36" i="7"/>
  <c r="O36" i="7"/>
  <c r="N36" i="7"/>
  <c r="H36" i="7"/>
  <c r="J36" i="7" s="1"/>
  <c r="S35" i="7"/>
  <c r="S37" i="7" s="1"/>
  <c r="S40" i="7" s="1"/>
  <c r="S44" i="7" s="1"/>
  <c r="S46" i="7" s="1"/>
  <c r="Q35" i="7"/>
  <c r="Q37" i="7" s="1"/>
  <c r="P35" i="7"/>
  <c r="O35" i="7"/>
  <c r="O37" i="7" s="1"/>
  <c r="O40" i="7" s="1"/>
  <c r="O44" i="7" s="1"/>
  <c r="N35" i="7"/>
  <c r="R35" i="7" s="1"/>
  <c r="T35" i="7" s="1"/>
  <c r="J35" i="7"/>
  <c r="H35" i="7"/>
  <c r="N29" i="7"/>
  <c r="R29" i="7" s="1"/>
  <c r="T29" i="7" s="1"/>
  <c r="T28" i="7"/>
  <c r="R28" i="7"/>
  <c r="H28" i="7"/>
  <c r="J28" i="7" s="1"/>
  <c r="I27" i="7"/>
  <c r="I29" i="7" s="1"/>
  <c r="R26" i="7"/>
  <c r="T26" i="7" s="1"/>
  <c r="J26" i="7"/>
  <c r="H26" i="7"/>
  <c r="R25" i="7"/>
  <c r="T25" i="7" s="1"/>
  <c r="J25" i="7"/>
  <c r="H25" i="7"/>
  <c r="R24" i="7"/>
  <c r="T24" i="7" s="1"/>
  <c r="J24" i="7"/>
  <c r="H24" i="7"/>
  <c r="N23" i="7"/>
  <c r="N27" i="7" s="1"/>
  <c r="G23" i="7"/>
  <c r="G27" i="7" s="1"/>
  <c r="G29" i="7" s="1"/>
  <c r="T22" i="7"/>
  <c r="R22" i="7"/>
  <c r="P22" i="7"/>
  <c r="H22" i="7"/>
  <c r="J22" i="7" s="1"/>
  <c r="F22" i="7"/>
  <c r="P52" i="7" s="1"/>
  <c r="P21" i="7"/>
  <c r="R21" i="7" s="1"/>
  <c r="T21" i="7" s="1"/>
  <c r="F21" i="7"/>
  <c r="H21" i="7" s="1"/>
  <c r="J21" i="7" s="1"/>
  <c r="S20" i="7"/>
  <c r="S23" i="7" s="1"/>
  <c r="S27" i="7" s="1"/>
  <c r="S29" i="7" s="1"/>
  <c r="Q20" i="7"/>
  <c r="Q23" i="7" s="1"/>
  <c r="Q27" i="7" s="1"/>
  <c r="Q29" i="7" s="1"/>
  <c r="P20" i="7"/>
  <c r="P23" i="7" s="1"/>
  <c r="P27" i="7" s="1"/>
  <c r="P29" i="7" s="1"/>
  <c r="O20" i="7"/>
  <c r="O23" i="7" s="1"/>
  <c r="O27" i="7" s="1"/>
  <c r="O29" i="7" s="1"/>
  <c r="N20" i="7"/>
  <c r="I20" i="7"/>
  <c r="I23" i="7" s="1"/>
  <c r="G20" i="7"/>
  <c r="E20" i="7"/>
  <c r="E23" i="7" s="1"/>
  <c r="E27" i="7" s="1"/>
  <c r="E29" i="7" s="1"/>
  <c r="D20" i="7"/>
  <c r="D23" i="7" s="1"/>
  <c r="P19" i="7"/>
  <c r="R19" i="7" s="1"/>
  <c r="T19" i="7" s="1"/>
  <c r="F19" i="7"/>
  <c r="P49" i="7" s="1"/>
  <c r="T18" i="7"/>
  <c r="R18" i="7"/>
  <c r="H18" i="7"/>
  <c r="J18" i="7" s="1"/>
  <c r="T15" i="7"/>
  <c r="R15" i="7"/>
  <c r="H15" i="7"/>
  <c r="J15" i="7" s="1"/>
  <c r="R13" i="7"/>
  <c r="T13" i="7" s="1"/>
  <c r="J13" i="7"/>
  <c r="H13" i="7"/>
  <c r="R12" i="7"/>
  <c r="T12" i="7" s="1"/>
  <c r="J12" i="7"/>
  <c r="H12" i="7"/>
  <c r="R11" i="7"/>
  <c r="T11" i="7" s="1"/>
  <c r="J11" i="7"/>
  <c r="H11" i="7"/>
  <c r="N10" i="7"/>
  <c r="G10" i="7"/>
  <c r="G14" i="7" s="1"/>
  <c r="G16" i="7" s="1"/>
  <c r="T9" i="7"/>
  <c r="R9" i="7"/>
  <c r="H9" i="7"/>
  <c r="J9" i="7" s="1"/>
  <c r="T8" i="7"/>
  <c r="R8" i="7"/>
  <c r="H8" i="7"/>
  <c r="J8" i="7" s="1"/>
  <c r="S7" i="7"/>
  <c r="S10" i="7" s="1"/>
  <c r="S14" i="7" s="1"/>
  <c r="S16" i="7" s="1"/>
  <c r="Q7" i="7"/>
  <c r="Q10" i="7" s="1"/>
  <c r="Q14" i="7" s="1"/>
  <c r="Q16" i="7" s="1"/>
  <c r="P7" i="7"/>
  <c r="P10" i="7" s="1"/>
  <c r="P14" i="7" s="1"/>
  <c r="P16" i="7" s="1"/>
  <c r="O7" i="7"/>
  <c r="O10" i="7" s="1"/>
  <c r="O14" i="7" s="1"/>
  <c r="O16" i="7" s="1"/>
  <c r="N7" i="7"/>
  <c r="R7" i="7" s="1"/>
  <c r="T7" i="7" s="1"/>
  <c r="I7" i="7"/>
  <c r="I10" i="7" s="1"/>
  <c r="I14" i="7" s="1"/>
  <c r="I16" i="7" s="1"/>
  <c r="G7" i="7"/>
  <c r="F7" i="7"/>
  <c r="F10" i="7" s="1"/>
  <c r="F14" i="7" s="1"/>
  <c r="F16" i="7" s="1"/>
  <c r="E7" i="7"/>
  <c r="E10" i="7" s="1"/>
  <c r="E14" i="7" s="1"/>
  <c r="E16" i="7" s="1"/>
  <c r="D7" i="7"/>
  <c r="D10" i="7" s="1"/>
  <c r="R6" i="7"/>
  <c r="T6" i="7" s="1"/>
  <c r="J6" i="7"/>
  <c r="H6" i="7"/>
  <c r="R5" i="7"/>
  <c r="T5" i="7" s="1"/>
  <c r="J5" i="7"/>
  <c r="H5" i="7"/>
  <c r="S67" i="6"/>
  <c r="Q67" i="6"/>
  <c r="P67" i="6"/>
  <c r="O67" i="6"/>
  <c r="N67" i="6"/>
  <c r="H67" i="6"/>
  <c r="J67" i="6" s="1"/>
  <c r="S65" i="6"/>
  <c r="Q65" i="6"/>
  <c r="P65" i="6"/>
  <c r="O65" i="6"/>
  <c r="N65" i="6"/>
  <c r="H65" i="6"/>
  <c r="J65" i="6" s="1"/>
  <c r="S64" i="6"/>
  <c r="Q64" i="6"/>
  <c r="P64" i="6"/>
  <c r="O64" i="6"/>
  <c r="N64" i="6"/>
  <c r="H64" i="6"/>
  <c r="J64" i="6" s="1"/>
  <c r="S63" i="6"/>
  <c r="Q63" i="6"/>
  <c r="P63" i="6"/>
  <c r="O63" i="6"/>
  <c r="N63" i="6"/>
  <c r="H63" i="6"/>
  <c r="J63" i="6" s="1"/>
  <c r="S61" i="6"/>
  <c r="P61" i="6"/>
  <c r="O61" i="6"/>
  <c r="N61" i="6"/>
  <c r="G61" i="6"/>
  <c r="Q61" i="6" s="1"/>
  <c r="S60" i="6"/>
  <c r="Q60" i="6"/>
  <c r="P60" i="6"/>
  <c r="O60" i="6"/>
  <c r="N60" i="6"/>
  <c r="H60" i="6"/>
  <c r="J60" i="6" s="1"/>
  <c r="I59" i="6"/>
  <c r="I62" i="6" s="1"/>
  <c r="I66" i="6" s="1"/>
  <c r="I68" i="6" s="1"/>
  <c r="G59" i="6"/>
  <c r="G62" i="6" s="1"/>
  <c r="G66" i="6" s="1"/>
  <c r="G68" i="6" s="1"/>
  <c r="F59" i="6"/>
  <c r="F62" i="6" s="1"/>
  <c r="F66" i="6" s="1"/>
  <c r="F68" i="6" s="1"/>
  <c r="E59" i="6"/>
  <c r="E62" i="6" s="1"/>
  <c r="E66" i="6" s="1"/>
  <c r="E68" i="6" s="1"/>
  <c r="D59" i="6"/>
  <c r="D62" i="6" s="1"/>
  <c r="S58" i="6"/>
  <c r="Q58" i="6"/>
  <c r="P58" i="6"/>
  <c r="O58" i="6"/>
  <c r="N58" i="6"/>
  <c r="H58" i="6"/>
  <c r="J58" i="6" s="1"/>
  <c r="S57" i="6"/>
  <c r="Q57" i="6"/>
  <c r="P57" i="6"/>
  <c r="O57" i="6"/>
  <c r="O59" i="6" s="1"/>
  <c r="O62" i="6" s="1"/>
  <c r="O66" i="6" s="1"/>
  <c r="O68" i="6" s="1"/>
  <c r="N57" i="6"/>
  <c r="H57" i="6"/>
  <c r="J57" i="6" s="1"/>
  <c r="S50" i="6"/>
  <c r="Q50" i="6"/>
  <c r="P50" i="6"/>
  <c r="O50" i="6"/>
  <c r="N50" i="6"/>
  <c r="H50" i="6"/>
  <c r="J50" i="6" s="1"/>
  <c r="S48" i="6"/>
  <c r="Q48" i="6"/>
  <c r="P48" i="6"/>
  <c r="O48" i="6"/>
  <c r="N48" i="6"/>
  <c r="H48" i="6"/>
  <c r="J48" i="6" s="1"/>
  <c r="S47" i="6"/>
  <c r="Q47" i="6"/>
  <c r="P47" i="6"/>
  <c r="O47" i="6"/>
  <c r="N47" i="6"/>
  <c r="H47" i="6"/>
  <c r="J47" i="6" s="1"/>
  <c r="S46" i="6"/>
  <c r="Q46" i="6"/>
  <c r="P46" i="6"/>
  <c r="O46" i="6"/>
  <c r="N46" i="6"/>
  <c r="H46" i="6"/>
  <c r="J46" i="6" s="1"/>
  <c r="S44" i="6"/>
  <c r="Q44" i="6"/>
  <c r="P44" i="6"/>
  <c r="O44" i="6"/>
  <c r="N44" i="6"/>
  <c r="H44" i="6"/>
  <c r="J44" i="6" s="1"/>
  <c r="S43" i="6"/>
  <c r="Q43" i="6"/>
  <c r="P43" i="6"/>
  <c r="O43" i="6"/>
  <c r="N43" i="6"/>
  <c r="H43" i="6"/>
  <c r="J43" i="6" s="1"/>
  <c r="I42" i="6"/>
  <c r="I45" i="6" s="1"/>
  <c r="I49" i="6" s="1"/>
  <c r="I51" i="6" s="1"/>
  <c r="G42" i="6"/>
  <c r="G45" i="6" s="1"/>
  <c r="G49" i="6" s="1"/>
  <c r="G51" i="6" s="1"/>
  <c r="F42" i="6"/>
  <c r="F45" i="6" s="1"/>
  <c r="F49" i="6" s="1"/>
  <c r="F51" i="6" s="1"/>
  <c r="E42" i="6"/>
  <c r="E45" i="6" s="1"/>
  <c r="E49" i="6" s="1"/>
  <c r="E51" i="6" s="1"/>
  <c r="D42" i="6"/>
  <c r="D45" i="6" s="1"/>
  <c r="S41" i="6"/>
  <c r="Q41" i="6"/>
  <c r="P41" i="6"/>
  <c r="O41" i="6"/>
  <c r="N41" i="6"/>
  <c r="H41" i="6"/>
  <c r="J41" i="6" s="1"/>
  <c r="S40" i="6"/>
  <c r="Q40" i="6"/>
  <c r="P40" i="6"/>
  <c r="P42" i="6" s="1"/>
  <c r="O40" i="6"/>
  <c r="N40" i="6"/>
  <c r="H40" i="6"/>
  <c r="J40" i="6" s="1"/>
  <c r="S33" i="6"/>
  <c r="Q33" i="6"/>
  <c r="P33" i="6"/>
  <c r="O33" i="6"/>
  <c r="N33" i="6"/>
  <c r="H33" i="6"/>
  <c r="J33" i="6" s="1"/>
  <c r="S31" i="6"/>
  <c r="Q31" i="6"/>
  <c r="P31" i="6"/>
  <c r="O31" i="6"/>
  <c r="N31" i="6"/>
  <c r="H31" i="6"/>
  <c r="J31" i="6" s="1"/>
  <c r="S30" i="6"/>
  <c r="Q30" i="6"/>
  <c r="P30" i="6"/>
  <c r="O30" i="6"/>
  <c r="N30" i="6"/>
  <c r="H30" i="6"/>
  <c r="J30" i="6" s="1"/>
  <c r="S29" i="6"/>
  <c r="Q29" i="6"/>
  <c r="P29" i="6"/>
  <c r="O29" i="6"/>
  <c r="N29" i="6"/>
  <c r="H29" i="6"/>
  <c r="J29" i="6" s="1"/>
  <c r="S27" i="6"/>
  <c r="Q27" i="6"/>
  <c r="O27" i="6"/>
  <c r="N27" i="6"/>
  <c r="H27" i="6"/>
  <c r="J27" i="6" s="1"/>
  <c r="S26" i="6"/>
  <c r="Q26" i="6"/>
  <c r="O26" i="6"/>
  <c r="N26" i="6"/>
  <c r="H26" i="6"/>
  <c r="J26" i="6" s="1"/>
  <c r="I25" i="6"/>
  <c r="I28" i="6" s="1"/>
  <c r="I32" i="6" s="1"/>
  <c r="I34" i="6" s="1"/>
  <c r="G25" i="6"/>
  <c r="G28" i="6" s="1"/>
  <c r="G32" i="6" s="1"/>
  <c r="G34" i="6" s="1"/>
  <c r="F25" i="6"/>
  <c r="F28" i="6" s="1"/>
  <c r="F32" i="6" s="1"/>
  <c r="F34" i="6" s="1"/>
  <c r="E25" i="6"/>
  <c r="E28" i="6" s="1"/>
  <c r="E32" i="6" s="1"/>
  <c r="E34" i="6" s="1"/>
  <c r="D25" i="6"/>
  <c r="D28" i="6" s="1"/>
  <c r="S24" i="6"/>
  <c r="Q24" i="6"/>
  <c r="O24" i="6"/>
  <c r="N24" i="6"/>
  <c r="H24" i="6"/>
  <c r="J24" i="6" s="1"/>
  <c r="S23" i="6"/>
  <c r="Q23" i="6"/>
  <c r="P23" i="6"/>
  <c r="O23" i="6"/>
  <c r="N23" i="6"/>
  <c r="H23" i="6"/>
  <c r="J23" i="6" s="1"/>
  <c r="R16" i="6"/>
  <c r="T16" i="6" s="1"/>
  <c r="H16" i="6"/>
  <c r="J16" i="6" s="1"/>
  <c r="R14" i="6"/>
  <c r="T14" i="6" s="1"/>
  <c r="H14" i="6"/>
  <c r="J14" i="6" s="1"/>
  <c r="R13" i="6"/>
  <c r="T13" i="6" s="1"/>
  <c r="H13" i="6"/>
  <c r="J13" i="6" s="1"/>
  <c r="R12" i="6"/>
  <c r="T12" i="6" s="1"/>
  <c r="H12" i="6"/>
  <c r="J12" i="6" s="1"/>
  <c r="P10" i="6"/>
  <c r="R10" i="6" s="1"/>
  <c r="T10" i="6" s="1"/>
  <c r="F10" i="6"/>
  <c r="P9" i="6"/>
  <c r="R9" i="6" s="1"/>
  <c r="T9" i="6" s="1"/>
  <c r="F9" i="6"/>
  <c r="P26" i="6" s="1"/>
  <c r="S8" i="6"/>
  <c r="S11" i="6" s="1"/>
  <c r="S15" i="6" s="1"/>
  <c r="S17" i="6" s="1"/>
  <c r="Q8" i="6"/>
  <c r="Q11" i="6" s="1"/>
  <c r="Q15" i="6" s="1"/>
  <c r="Q17" i="6" s="1"/>
  <c r="O8" i="6"/>
  <c r="O11" i="6" s="1"/>
  <c r="O15" i="6" s="1"/>
  <c r="O17" i="6" s="1"/>
  <c r="N8" i="6"/>
  <c r="N11" i="6" s="1"/>
  <c r="I8" i="6"/>
  <c r="I11" i="6" s="1"/>
  <c r="I15" i="6" s="1"/>
  <c r="I17" i="6" s="1"/>
  <c r="G8" i="6"/>
  <c r="G11" i="6" s="1"/>
  <c r="G15" i="6" s="1"/>
  <c r="G17" i="6" s="1"/>
  <c r="E8" i="6"/>
  <c r="E11" i="6" s="1"/>
  <c r="E15" i="6" s="1"/>
  <c r="E17" i="6" s="1"/>
  <c r="D8" i="6"/>
  <c r="D11" i="6" s="1"/>
  <c r="D15" i="6" s="1"/>
  <c r="D17" i="6" s="1"/>
  <c r="P7" i="6"/>
  <c r="P8" i="6" s="1"/>
  <c r="F7" i="6"/>
  <c r="P24" i="6" s="1"/>
  <c r="R6" i="6"/>
  <c r="T6" i="6" s="1"/>
  <c r="H6" i="6"/>
  <c r="J6" i="6" s="1"/>
  <c r="P25" i="6" l="1"/>
  <c r="Q25" i="6"/>
  <c r="R47" i="6"/>
  <c r="T47" i="6" s="1"/>
  <c r="R24" i="6"/>
  <c r="T24" i="6" s="1"/>
  <c r="R7" i="6"/>
  <c r="T7" i="6" s="1"/>
  <c r="O25" i="6"/>
  <c r="O28" i="6" s="1"/>
  <c r="O32" i="6" s="1"/>
  <c r="O34" i="6" s="1"/>
  <c r="O42" i="6"/>
  <c r="O45" i="6" s="1"/>
  <c r="O49" i="6" s="1"/>
  <c r="O51" i="6" s="1"/>
  <c r="Q28" i="6"/>
  <c r="Q32" i="6" s="1"/>
  <c r="Q34" i="6" s="1"/>
  <c r="S42" i="6"/>
  <c r="S45" i="6" s="1"/>
  <c r="S49" i="6" s="1"/>
  <c r="S51" i="6" s="1"/>
  <c r="S59" i="6"/>
  <c r="S62" i="6" s="1"/>
  <c r="S66" i="6" s="1"/>
  <c r="S68" i="6" s="1"/>
  <c r="R61" i="6"/>
  <c r="T61" i="6" s="1"/>
  <c r="H7" i="6"/>
  <c r="J7" i="6" s="1"/>
  <c r="Q59" i="6"/>
  <c r="Q62" i="6" s="1"/>
  <c r="Q66" i="6" s="1"/>
  <c r="Q68" i="6" s="1"/>
  <c r="H61" i="6"/>
  <c r="J61" i="6" s="1"/>
  <c r="R30" i="6"/>
  <c r="T30" i="6" s="1"/>
  <c r="P45" i="6"/>
  <c r="P49" i="6" s="1"/>
  <c r="P51" i="6" s="1"/>
  <c r="P59" i="6"/>
  <c r="P62" i="6" s="1"/>
  <c r="P66" i="6" s="1"/>
  <c r="P68" i="6" s="1"/>
  <c r="N42" i="6"/>
  <c r="N45" i="6" s="1"/>
  <c r="R44" i="6"/>
  <c r="T44" i="6" s="1"/>
  <c r="R46" i="6"/>
  <c r="T46" i="6" s="1"/>
  <c r="N59" i="6"/>
  <c r="N62" i="6" s="1"/>
  <c r="R63" i="6"/>
  <c r="T63" i="6" s="1"/>
  <c r="R65" i="6"/>
  <c r="T65" i="6" s="1"/>
  <c r="P11" i="6"/>
  <c r="P15" i="6" s="1"/>
  <c r="P17" i="6" s="1"/>
  <c r="H9" i="6"/>
  <c r="J9" i="6" s="1"/>
  <c r="S25" i="6"/>
  <c r="S28" i="6" s="1"/>
  <c r="S32" i="6" s="1"/>
  <c r="S34" i="6" s="1"/>
  <c r="R43" i="6"/>
  <c r="T43" i="6" s="1"/>
  <c r="R50" i="6"/>
  <c r="T50" i="6" s="1"/>
  <c r="H10" i="7"/>
  <c r="J10" i="7" s="1"/>
  <c r="D14" i="7"/>
  <c r="R10" i="7"/>
  <c r="T10" i="7" s="1"/>
  <c r="N44" i="7"/>
  <c r="N14" i="7"/>
  <c r="R23" i="7"/>
  <c r="T23" i="7" s="1"/>
  <c r="P37" i="7"/>
  <c r="P40" i="7" s="1"/>
  <c r="P44" i="7" s="1"/>
  <c r="P46" i="7" s="1"/>
  <c r="R36" i="7"/>
  <c r="T36" i="7" s="1"/>
  <c r="R37" i="7"/>
  <c r="T37" i="7" s="1"/>
  <c r="P50" i="7"/>
  <c r="P53" i="7" s="1"/>
  <c r="P57" i="7" s="1"/>
  <c r="P59" i="7" s="1"/>
  <c r="R67" i="7"/>
  <c r="T67" i="7" s="1"/>
  <c r="H83" i="7"/>
  <c r="J83" i="7" s="1"/>
  <c r="D87" i="7"/>
  <c r="H40" i="7"/>
  <c r="J40" i="7" s="1"/>
  <c r="D44" i="7"/>
  <c r="N74" i="7"/>
  <c r="R70" i="7"/>
  <c r="T70" i="7" s="1"/>
  <c r="H7" i="7"/>
  <c r="J7" i="7" s="1"/>
  <c r="D27" i="7"/>
  <c r="R20" i="7"/>
  <c r="T20" i="7" s="1"/>
  <c r="Q40" i="7"/>
  <c r="Q44" i="7" s="1"/>
  <c r="Q46" i="7" s="1"/>
  <c r="R45" i="7"/>
  <c r="T45" i="7" s="1"/>
  <c r="R58" i="7"/>
  <c r="T58" i="7" s="1"/>
  <c r="R66" i="7"/>
  <c r="T66" i="7" s="1"/>
  <c r="H119" i="7"/>
  <c r="J119" i="7" s="1"/>
  <c r="N53" i="7"/>
  <c r="R50" i="7"/>
  <c r="T50" i="7" s="1"/>
  <c r="D57" i="7"/>
  <c r="H53" i="7"/>
  <c r="J53" i="7" s="1"/>
  <c r="H74" i="7"/>
  <c r="J74" i="7" s="1"/>
  <c r="R27" i="7"/>
  <c r="T27" i="7" s="1"/>
  <c r="O46" i="7"/>
  <c r="R38" i="7"/>
  <c r="T38" i="7" s="1"/>
  <c r="O59" i="7"/>
  <c r="H19" i="7"/>
  <c r="J19" i="7" s="1"/>
  <c r="R48" i="7"/>
  <c r="T48" i="7" s="1"/>
  <c r="H50" i="7"/>
  <c r="J50" i="7" s="1"/>
  <c r="R65" i="7"/>
  <c r="T65" i="7" s="1"/>
  <c r="N83" i="7"/>
  <c r="R80" i="7"/>
  <c r="T80" i="7" s="1"/>
  <c r="R79" i="7"/>
  <c r="T79" i="7" s="1"/>
  <c r="R101" i="7"/>
  <c r="T101" i="7" s="1"/>
  <c r="R108" i="7"/>
  <c r="T108" i="7" s="1"/>
  <c r="H110" i="7"/>
  <c r="J110" i="7" s="1"/>
  <c r="R116" i="7"/>
  <c r="T116" i="7" s="1"/>
  <c r="S70" i="7"/>
  <c r="S74" i="7" s="1"/>
  <c r="S76" i="7" s="1"/>
  <c r="H76" i="7"/>
  <c r="J76" i="7" s="1"/>
  <c r="Q87" i="7"/>
  <c r="Q89" i="7" s="1"/>
  <c r="R84" i="7"/>
  <c r="T84" i="7" s="1"/>
  <c r="R95" i="7"/>
  <c r="T95" i="7" s="1"/>
  <c r="S100" i="7"/>
  <c r="S104" i="7" s="1"/>
  <c r="S106" i="7" s="1"/>
  <c r="H100" i="7"/>
  <c r="J100" i="7" s="1"/>
  <c r="P117" i="7"/>
  <c r="P119" i="7" s="1"/>
  <c r="R111" i="7"/>
  <c r="T111" i="7" s="1"/>
  <c r="H117" i="7"/>
  <c r="J117" i="7" s="1"/>
  <c r="F20" i="7"/>
  <c r="F23" i="7" s="1"/>
  <c r="F27" i="7" s="1"/>
  <c r="F29" i="7" s="1"/>
  <c r="H37" i="7"/>
  <c r="J37" i="7" s="1"/>
  <c r="Q70" i="7"/>
  <c r="Q74" i="7" s="1"/>
  <c r="Q76" i="7" s="1"/>
  <c r="H70" i="7"/>
  <c r="J70" i="7" s="1"/>
  <c r="O83" i="7"/>
  <c r="O87" i="7" s="1"/>
  <c r="O89" i="7" s="1"/>
  <c r="R81" i="7"/>
  <c r="T81" i="7" s="1"/>
  <c r="R86" i="7"/>
  <c r="T86" i="7" s="1"/>
  <c r="N100" i="7"/>
  <c r="R97" i="7"/>
  <c r="T97" i="7" s="1"/>
  <c r="R96" i="7"/>
  <c r="T96" i="7" s="1"/>
  <c r="D104" i="7"/>
  <c r="Q119" i="7"/>
  <c r="R118" i="7"/>
  <c r="T118" i="7" s="1"/>
  <c r="N110" i="7"/>
  <c r="H67" i="7"/>
  <c r="J67" i="7" s="1"/>
  <c r="H80" i="7"/>
  <c r="J80" i="7" s="1"/>
  <c r="H97" i="7"/>
  <c r="J97" i="7" s="1"/>
  <c r="R8" i="6"/>
  <c r="T8" i="6" s="1"/>
  <c r="H10" i="6"/>
  <c r="J10" i="6" s="1"/>
  <c r="P27" i="6"/>
  <c r="P28" i="6" s="1"/>
  <c r="P32" i="6" s="1"/>
  <c r="P34" i="6" s="1"/>
  <c r="N15" i="6"/>
  <c r="R60" i="6"/>
  <c r="T60" i="6" s="1"/>
  <c r="R31" i="6"/>
  <c r="T31" i="6" s="1"/>
  <c r="Q42" i="6"/>
  <c r="Q45" i="6" s="1"/>
  <c r="Q49" i="6" s="1"/>
  <c r="Q51" i="6" s="1"/>
  <c r="R23" i="6"/>
  <c r="T23" i="6" s="1"/>
  <c r="H28" i="6"/>
  <c r="J28" i="6" s="1"/>
  <c r="R26" i="6"/>
  <c r="T26" i="6" s="1"/>
  <c r="R29" i="6"/>
  <c r="T29" i="6" s="1"/>
  <c r="D32" i="6"/>
  <c r="D49" i="6"/>
  <c r="H45" i="6"/>
  <c r="J45" i="6" s="1"/>
  <c r="F8" i="6"/>
  <c r="F11" i="6" s="1"/>
  <c r="F15" i="6" s="1"/>
  <c r="F17" i="6" s="1"/>
  <c r="H17" i="6" s="1"/>
  <c r="J17" i="6" s="1"/>
  <c r="N25" i="6"/>
  <c r="H42" i="6"/>
  <c r="J42" i="6" s="1"/>
  <c r="D66" i="6"/>
  <c r="H62" i="6"/>
  <c r="J62" i="6" s="1"/>
  <c r="H59" i="6"/>
  <c r="J59" i="6" s="1"/>
  <c r="H25" i="6"/>
  <c r="J25" i="6" s="1"/>
  <c r="R33" i="6"/>
  <c r="T33" i="6" s="1"/>
  <c r="R40" i="6"/>
  <c r="T40" i="6" s="1"/>
  <c r="R41" i="6"/>
  <c r="T41" i="6" s="1"/>
  <c r="R48" i="6"/>
  <c r="T48" i="6" s="1"/>
  <c r="R57" i="6"/>
  <c r="T57" i="6" s="1"/>
  <c r="R58" i="6"/>
  <c r="T58" i="6" s="1"/>
  <c r="R64" i="6"/>
  <c r="T64" i="6" s="1"/>
  <c r="R67" i="6"/>
  <c r="T67" i="6" s="1"/>
  <c r="S67" i="5"/>
  <c r="Q67" i="5"/>
  <c r="P67" i="5"/>
  <c r="O67" i="5"/>
  <c r="N67" i="5"/>
  <c r="S65" i="5"/>
  <c r="Q65" i="5"/>
  <c r="P65" i="5"/>
  <c r="O65" i="5"/>
  <c r="N65" i="5"/>
  <c r="S64" i="5"/>
  <c r="Q64" i="5"/>
  <c r="P64" i="5"/>
  <c r="O64" i="5"/>
  <c r="N64" i="5"/>
  <c r="S63" i="5"/>
  <c r="Q63" i="5"/>
  <c r="P63" i="5"/>
  <c r="O63" i="5"/>
  <c r="N63" i="5"/>
  <c r="S61" i="5"/>
  <c r="Q61" i="5"/>
  <c r="P61" i="5"/>
  <c r="O61" i="5"/>
  <c r="N61" i="5"/>
  <c r="S60" i="5"/>
  <c r="Q60" i="5"/>
  <c r="P60" i="5"/>
  <c r="O60" i="5"/>
  <c r="N60" i="5"/>
  <c r="S58" i="5"/>
  <c r="Q58" i="5"/>
  <c r="P58" i="5"/>
  <c r="O58" i="5"/>
  <c r="N58" i="5"/>
  <c r="S57" i="5"/>
  <c r="Q57" i="5"/>
  <c r="P57" i="5"/>
  <c r="O57" i="5"/>
  <c r="N57" i="5"/>
  <c r="Q50" i="5"/>
  <c r="P50" i="5"/>
  <c r="O50" i="5"/>
  <c r="N50" i="5"/>
  <c r="Q48" i="5"/>
  <c r="P48" i="5"/>
  <c r="O48" i="5"/>
  <c r="N48" i="5"/>
  <c r="Q47" i="5"/>
  <c r="P47" i="5"/>
  <c r="O47" i="5"/>
  <c r="N47" i="5"/>
  <c r="Q46" i="5"/>
  <c r="P46" i="5"/>
  <c r="O46" i="5"/>
  <c r="N46" i="5"/>
  <c r="Q44" i="5"/>
  <c r="P44" i="5"/>
  <c r="O44" i="5"/>
  <c r="N44" i="5"/>
  <c r="Q43" i="5"/>
  <c r="P43" i="5"/>
  <c r="O43" i="5"/>
  <c r="N43" i="5"/>
  <c r="Q41" i="5"/>
  <c r="P41" i="5"/>
  <c r="O41" i="5"/>
  <c r="N41" i="5"/>
  <c r="Q40" i="5"/>
  <c r="P40" i="5"/>
  <c r="O40" i="5"/>
  <c r="N40" i="5"/>
  <c r="S33" i="5"/>
  <c r="Q33" i="5"/>
  <c r="P33" i="5"/>
  <c r="O33" i="5"/>
  <c r="N33" i="5"/>
  <c r="H33" i="5"/>
  <c r="J33" i="5" s="1"/>
  <c r="S31" i="5"/>
  <c r="P31" i="5"/>
  <c r="O31" i="5"/>
  <c r="N31" i="5"/>
  <c r="H31" i="5"/>
  <c r="S30" i="5"/>
  <c r="P30" i="5"/>
  <c r="O30" i="5"/>
  <c r="N30" i="5"/>
  <c r="H30" i="5"/>
  <c r="S29" i="5"/>
  <c r="P29" i="5"/>
  <c r="O29" i="5"/>
  <c r="N29" i="5"/>
  <c r="H29" i="5"/>
  <c r="S27" i="5"/>
  <c r="Q27" i="5"/>
  <c r="P27" i="5"/>
  <c r="O27" i="5"/>
  <c r="N27" i="5"/>
  <c r="H27" i="5"/>
  <c r="J27" i="5" s="1"/>
  <c r="S26" i="5"/>
  <c r="Q26" i="5"/>
  <c r="P26" i="5"/>
  <c r="O26" i="5"/>
  <c r="N26" i="5"/>
  <c r="H26" i="5"/>
  <c r="I25" i="5"/>
  <c r="I28" i="5" s="1"/>
  <c r="G25" i="5"/>
  <c r="F25" i="5"/>
  <c r="E25" i="5"/>
  <c r="D25" i="5"/>
  <c r="S24" i="5"/>
  <c r="Q24" i="5"/>
  <c r="P24" i="5"/>
  <c r="O24" i="5"/>
  <c r="N24" i="5"/>
  <c r="H24" i="5"/>
  <c r="J24" i="5" s="1"/>
  <c r="S23" i="5"/>
  <c r="Q23" i="5"/>
  <c r="P23" i="5"/>
  <c r="O23" i="5"/>
  <c r="N23" i="5"/>
  <c r="H23" i="5"/>
  <c r="J23" i="5" s="1"/>
  <c r="R16" i="5"/>
  <c r="T16" i="5" s="1"/>
  <c r="H16" i="5"/>
  <c r="J16" i="5" s="1"/>
  <c r="R14" i="5"/>
  <c r="T14" i="5" s="1"/>
  <c r="H14" i="5"/>
  <c r="J14" i="5" s="1"/>
  <c r="R13" i="5"/>
  <c r="T13" i="5" s="1"/>
  <c r="H13" i="5"/>
  <c r="J13" i="5" s="1"/>
  <c r="R12" i="5"/>
  <c r="T12" i="5" s="1"/>
  <c r="H12" i="5"/>
  <c r="J12" i="5" s="1"/>
  <c r="R10" i="5"/>
  <c r="T10" i="5" s="1"/>
  <c r="H10" i="5"/>
  <c r="J10" i="5" s="1"/>
  <c r="R9" i="5"/>
  <c r="T9" i="5" s="1"/>
  <c r="H9" i="5"/>
  <c r="J9" i="5" s="1"/>
  <c r="S8" i="5"/>
  <c r="S11" i="5" s="1"/>
  <c r="S15" i="5" s="1"/>
  <c r="S17" i="5" s="1"/>
  <c r="Q8" i="5"/>
  <c r="Q11" i="5" s="1"/>
  <c r="Q15" i="5" s="1"/>
  <c r="Q17" i="5" s="1"/>
  <c r="P8" i="5"/>
  <c r="P11" i="5" s="1"/>
  <c r="P15" i="5" s="1"/>
  <c r="P17" i="5" s="1"/>
  <c r="O8" i="5"/>
  <c r="O11" i="5" s="1"/>
  <c r="O15" i="5" s="1"/>
  <c r="O17" i="5" s="1"/>
  <c r="N8" i="5"/>
  <c r="I8" i="5"/>
  <c r="I11" i="5" s="1"/>
  <c r="I15" i="5" s="1"/>
  <c r="I17" i="5" s="1"/>
  <c r="G8" i="5"/>
  <c r="G11" i="5" s="1"/>
  <c r="G15" i="5" s="1"/>
  <c r="G17" i="5" s="1"/>
  <c r="F8" i="5"/>
  <c r="F11" i="5" s="1"/>
  <c r="F15" i="5" s="1"/>
  <c r="F17" i="5" s="1"/>
  <c r="E8" i="5"/>
  <c r="E11" i="5" s="1"/>
  <c r="E15" i="5" s="1"/>
  <c r="E17" i="5" s="1"/>
  <c r="D8" i="5"/>
  <c r="D11" i="5" s="1"/>
  <c r="D15" i="5" s="1"/>
  <c r="R7" i="5"/>
  <c r="T7" i="5" s="1"/>
  <c r="H7" i="5"/>
  <c r="J7" i="5" s="1"/>
  <c r="R6" i="5"/>
  <c r="T6" i="5" s="1"/>
  <c r="H6" i="5"/>
  <c r="J6" i="5" s="1"/>
  <c r="S67" i="4"/>
  <c r="Q67" i="4"/>
  <c r="P67" i="4"/>
  <c r="O67" i="4"/>
  <c r="N67" i="4"/>
  <c r="H67" i="4"/>
  <c r="S65" i="4"/>
  <c r="Q65" i="4"/>
  <c r="P65" i="4"/>
  <c r="O65" i="4"/>
  <c r="N65" i="4"/>
  <c r="H65" i="4"/>
  <c r="J65" i="4" s="1"/>
  <c r="S64" i="4"/>
  <c r="Q64" i="4"/>
  <c r="P64" i="4"/>
  <c r="O64" i="4"/>
  <c r="N64" i="4"/>
  <c r="H64" i="4"/>
  <c r="J64" i="4" s="1"/>
  <c r="S63" i="4"/>
  <c r="Q63" i="4"/>
  <c r="P63" i="4"/>
  <c r="O63" i="4"/>
  <c r="N63" i="4"/>
  <c r="H63" i="4"/>
  <c r="J63" i="4" s="1"/>
  <c r="S61" i="4"/>
  <c r="Q61" i="4"/>
  <c r="P61" i="4"/>
  <c r="O61" i="4"/>
  <c r="N61" i="4"/>
  <c r="H61" i="4"/>
  <c r="J61" i="4" s="1"/>
  <c r="S60" i="4"/>
  <c r="Q60" i="4"/>
  <c r="P60" i="4"/>
  <c r="O60" i="4"/>
  <c r="N60" i="4"/>
  <c r="H60" i="4"/>
  <c r="J60" i="4" s="1"/>
  <c r="I59" i="4"/>
  <c r="I62" i="4" s="1"/>
  <c r="G59" i="4"/>
  <c r="G62" i="4" s="1"/>
  <c r="F59" i="4"/>
  <c r="F62" i="4" s="1"/>
  <c r="E59" i="4"/>
  <c r="D59" i="4"/>
  <c r="D62" i="4" s="1"/>
  <c r="S58" i="4"/>
  <c r="Q58" i="4"/>
  <c r="P58" i="4"/>
  <c r="O58" i="4"/>
  <c r="N58" i="4"/>
  <c r="H58" i="4"/>
  <c r="S57" i="4"/>
  <c r="Q57" i="4"/>
  <c r="P57" i="4"/>
  <c r="O57" i="4"/>
  <c r="N57" i="4"/>
  <c r="H57" i="4"/>
  <c r="J57" i="4" s="1"/>
  <c r="S50" i="4"/>
  <c r="Q50" i="4"/>
  <c r="P50" i="4"/>
  <c r="O50" i="4"/>
  <c r="N50" i="4"/>
  <c r="H50" i="4"/>
  <c r="J50" i="4" s="1"/>
  <c r="S48" i="4"/>
  <c r="Q48" i="4"/>
  <c r="P48" i="4"/>
  <c r="O48" i="4"/>
  <c r="N48" i="4"/>
  <c r="H48" i="4"/>
  <c r="J48" i="4" s="1"/>
  <c r="S47" i="4"/>
  <c r="Q47" i="4"/>
  <c r="P47" i="4"/>
  <c r="O47" i="4"/>
  <c r="N47" i="4"/>
  <c r="H47" i="4"/>
  <c r="J47" i="4" s="1"/>
  <c r="S46" i="4"/>
  <c r="Q46" i="4"/>
  <c r="P46" i="4"/>
  <c r="O46" i="4"/>
  <c r="N46" i="4"/>
  <c r="H46" i="4"/>
  <c r="J46" i="4" s="1"/>
  <c r="S44" i="4"/>
  <c r="Q44" i="4"/>
  <c r="P44" i="4"/>
  <c r="O44" i="4"/>
  <c r="N44" i="4"/>
  <c r="H44" i="4"/>
  <c r="J44" i="4" s="1"/>
  <c r="S43" i="4"/>
  <c r="Q43" i="4"/>
  <c r="P43" i="4"/>
  <c r="O43" i="4"/>
  <c r="N43" i="4"/>
  <c r="H43" i="4"/>
  <c r="J43" i="4" s="1"/>
  <c r="I42" i="4"/>
  <c r="I45" i="4" s="1"/>
  <c r="I49" i="4" s="1"/>
  <c r="I51" i="4" s="1"/>
  <c r="G42" i="4"/>
  <c r="G45" i="4" s="1"/>
  <c r="G49" i="4" s="1"/>
  <c r="G51" i="4" s="1"/>
  <c r="F42" i="4"/>
  <c r="F45" i="4" s="1"/>
  <c r="F49" i="4" s="1"/>
  <c r="F51" i="4" s="1"/>
  <c r="E42" i="4"/>
  <c r="E45" i="4" s="1"/>
  <c r="E49" i="4" s="1"/>
  <c r="E51" i="4" s="1"/>
  <c r="D42" i="4"/>
  <c r="D45" i="4" s="1"/>
  <c r="S41" i="4"/>
  <c r="Q41" i="4"/>
  <c r="P41" i="4"/>
  <c r="O41" i="4"/>
  <c r="N41" i="4"/>
  <c r="H41" i="4"/>
  <c r="J41" i="4" s="1"/>
  <c r="S40" i="4"/>
  <c r="Q40" i="4"/>
  <c r="P40" i="4"/>
  <c r="O40" i="4"/>
  <c r="N40" i="4"/>
  <c r="H40" i="4"/>
  <c r="J40" i="4" s="1"/>
  <c r="S33" i="4"/>
  <c r="Q33" i="4"/>
  <c r="P33" i="4"/>
  <c r="O33" i="4"/>
  <c r="N33" i="4"/>
  <c r="H33" i="4"/>
  <c r="J33" i="4" s="1"/>
  <c r="S31" i="4"/>
  <c r="P31" i="4"/>
  <c r="O31" i="4"/>
  <c r="N31" i="4"/>
  <c r="H31" i="4"/>
  <c r="J31" i="4" s="1"/>
  <c r="S30" i="4"/>
  <c r="P30" i="4"/>
  <c r="O30" i="4"/>
  <c r="N30" i="4"/>
  <c r="H30" i="4"/>
  <c r="J30" i="4" s="1"/>
  <c r="S29" i="4"/>
  <c r="P29" i="4"/>
  <c r="O29" i="4"/>
  <c r="N29" i="4"/>
  <c r="H29" i="4"/>
  <c r="J29" i="4" s="1"/>
  <c r="S27" i="4"/>
  <c r="Q27" i="4"/>
  <c r="P27" i="4"/>
  <c r="O27" i="4"/>
  <c r="N27" i="4"/>
  <c r="H27" i="4"/>
  <c r="J27" i="4" s="1"/>
  <c r="S26" i="4"/>
  <c r="Q26" i="4"/>
  <c r="P26" i="4"/>
  <c r="O26" i="4"/>
  <c r="N26" i="4"/>
  <c r="H26" i="4"/>
  <c r="J26" i="4" s="1"/>
  <c r="I25" i="4"/>
  <c r="I28" i="4" s="1"/>
  <c r="I32" i="4" s="1"/>
  <c r="I34" i="4" s="1"/>
  <c r="G25" i="4"/>
  <c r="G28" i="4" s="1"/>
  <c r="G32" i="4" s="1"/>
  <c r="G34" i="4" s="1"/>
  <c r="F25" i="4"/>
  <c r="F28" i="4" s="1"/>
  <c r="F32" i="4" s="1"/>
  <c r="F34" i="4" s="1"/>
  <c r="E25" i="4"/>
  <c r="E28" i="4" s="1"/>
  <c r="E32" i="4" s="1"/>
  <c r="E34" i="4" s="1"/>
  <c r="D25" i="4"/>
  <c r="D28" i="4" s="1"/>
  <c r="S24" i="4"/>
  <c r="Q24" i="4"/>
  <c r="P24" i="4"/>
  <c r="O24" i="4"/>
  <c r="N24" i="4"/>
  <c r="H24" i="4"/>
  <c r="J24" i="4" s="1"/>
  <c r="S23" i="4"/>
  <c r="Q23" i="4"/>
  <c r="P23" i="4"/>
  <c r="O23" i="4"/>
  <c r="N23" i="4"/>
  <c r="H23" i="4"/>
  <c r="J23" i="4" s="1"/>
  <c r="R16" i="4"/>
  <c r="T16" i="4" s="1"/>
  <c r="H16" i="4"/>
  <c r="J16" i="4" s="1"/>
  <c r="R14" i="4"/>
  <c r="T14" i="4" s="1"/>
  <c r="H14" i="4"/>
  <c r="J14" i="4" s="1"/>
  <c r="R13" i="4"/>
  <c r="T13" i="4" s="1"/>
  <c r="H13" i="4"/>
  <c r="J13" i="4" s="1"/>
  <c r="R12" i="4"/>
  <c r="T12" i="4" s="1"/>
  <c r="H12" i="4"/>
  <c r="J12" i="4" s="1"/>
  <c r="R10" i="4"/>
  <c r="T10" i="4" s="1"/>
  <c r="H10" i="4"/>
  <c r="J10" i="4" s="1"/>
  <c r="R9" i="4"/>
  <c r="T9" i="4" s="1"/>
  <c r="H9" i="4"/>
  <c r="J9" i="4" s="1"/>
  <c r="S8" i="4"/>
  <c r="S11" i="4" s="1"/>
  <c r="S15" i="4" s="1"/>
  <c r="S17" i="4" s="1"/>
  <c r="Q8" i="4"/>
  <c r="Q11" i="4" s="1"/>
  <c r="Q15" i="4" s="1"/>
  <c r="Q17" i="4" s="1"/>
  <c r="P8" i="4"/>
  <c r="P11" i="4" s="1"/>
  <c r="P15" i="4" s="1"/>
  <c r="P17" i="4" s="1"/>
  <c r="O8" i="4"/>
  <c r="O11" i="4" s="1"/>
  <c r="O15" i="4" s="1"/>
  <c r="O17" i="4" s="1"/>
  <c r="N8" i="4"/>
  <c r="N11" i="4" s="1"/>
  <c r="I8" i="4"/>
  <c r="I11" i="4" s="1"/>
  <c r="I15" i="4" s="1"/>
  <c r="I17" i="4" s="1"/>
  <c r="G8" i="4"/>
  <c r="G11" i="4" s="1"/>
  <c r="G15" i="4" s="1"/>
  <c r="G17" i="4" s="1"/>
  <c r="F8" i="4"/>
  <c r="F11" i="4" s="1"/>
  <c r="F15" i="4" s="1"/>
  <c r="F17" i="4" s="1"/>
  <c r="E8" i="4"/>
  <c r="E11" i="4" s="1"/>
  <c r="E15" i="4" s="1"/>
  <c r="E17" i="4" s="1"/>
  <c r="D8" i="4"/>
  <c r="D11" i="4" s="1"/>
  <c r="D15" i="4" s="1"/>
  <c r="R7" i="4"/>
  <c r="T7" i="4" s="1"/>
  <c r="H7" i="4"/>
  <c r="J7" i="4" s="1"/>
  <c r="R6" i="4"/>
  <c r="T6" i="4" s="1"/>
  <c r="H6" i="4"/>
  <c r="J6" i="4" s="1"/>
  <c r="R27" i="6" l="1"/>
  <c r="T27" i="6" s="1"/>
  <c r="N66" i="6"/>
  <c r="N68" i="6" s="1"/>
  <c r="R68" i="6" s="1"/>
  <c r="T68" i="6" s="1"/>
  <c r="R62" i="6"/>
  <c r="T62" i="6" s="1"/>
  <c r="R59" i="6"/>
  <c r="T59" i="6" s="1"/>
  <c r="R11" i="6"/>
  <c r="T11" i="6" s="1"/>
  <c r="R42" i="6"/>
  <c r="T42" i="6" s="1"/>
  <c r="N16" i="7"/>
  <c r="R16" i="7" s="1"/>
  <c r="T16" i="7" s="1"/>
  <c r="R14" i="7"/>
  <c r="T14" i="7" s="1"/>
  <c r="N113" i="7"/>
  <c r="R110" i="7"/>
  <c r="T110" i="7" s="1"/>
  <c r="H20" i="7"/>
  <c r="J20" i="7" s="1"/>
  <c r="R53" i="7"/>
  <c r="T53" i="7" s="1"/>
  <c r="N57" i="7"/>
  <c r="H23" i="7"/>
  <c r="J23" i="7" s="1"/>
  <c r="H44" i="7"/>
  <c r="J44" i="7" s="1"/>
  <c r="D46" i="7"/>
  <c r="H46" i="7" s="1"/>
  <c r="J46" i="7" s="1"/>
  <c r="N46" i="7"/>
  <c r="R46" i="7" s="1"/>
  <c r="T46" i="7" s="1"/>
  <c r="R44" i="7"/>
  <c r="T44" i="7" s="1"/>
  <c r="H57" i="7"/>
  <c r="J57" i="7" s="1"/>
  <c r="D59" i="7"/>
  <c r="H59" i="7" s="1"/>
  <c r="J59" i="7" s="1"/>
  <c r="D89" i="7"/>
  <c r="H89" i="7" s="1"/>
  <c r="J89" i="7" s="1"/>
  <c r="H87" i="7"/>
  <c r="J87" i="7" s="1"/>
  <c r="N104" i="7"/>
  <c r="R100" i="7"/>
  <c r="T100" i="7" s="1"/>
  <c r="D16" i="7"/>
  <c r="H16" i="7" s="1"/>
  <c r="J16" i="7" s="1"/>
  <c r="H14" i="7"/>
  <c r="J14" i="7" s="1"/>
  <c r="D106" i="7"/>
  <c r="H106" i="7" s="1"/>
  <c r="J106" i="7" s="1"/>
  <c r="H104" i="7"/>
  <c r="J104" i="7" s="1"/>
  <c r="N87" i="7"/>
  <c r="R83" i="7"/>
  <c r="T83" i="7" s="1"/>
  <c r="D29" i="7"/>
  <c r="H29" i="7" s="1"/>
  <c r="J29" i="7" s="1"/>
  <c r="H27" i="7"/>
  <c r="J27" i="7" s="1"/>
  <c r="R74" i="7"/>
  <c r="T74" i="7" s="1"/>
  <c r="N76" i="7"/>
  <c r="R76" i="7" s="1"/>
  <c r="T76" i="7" s="1"/>
  <c r="R40" i="7"/>
  <c r="T40" i="7" s="1"/>
  <c r="R45" i="6"/>
  <c r="T45" i="6" s="1"/>
  <c r="N49" i="6"/>
  <c r="N28" i="6"/>
  <c r="R25" i="6"/>
  <c r="T25" i="6" s="1"/>
  <c r="H66" i="6"/>
  <c r="J66" i="6" s="1"/>
  <c r="D68" i="6"/>
  <c r="H68" i="6" s="1"/>
  <c r="J68" i="6" s="1"/>
  <c r="H49" i="6"/>
  <c r="J49" i="6" s="1"/>
  <c r="D51" i="6"/>
  <c r="H51" i="6" s="1"/>
  <c r="J51" i="6" s="1"/>
  <c r="H11" i="6"/>
  <c r="J11" i="6" s="1"/>
  <c r="H32" i="6"/>
  <c r="J32" i="6" s="1"/>
  <c r="D34" i="6"/>
  <c r="H34" i="6" s="1"/>
  <c r="J34" i="6" s="1"/>
  <c r="H8" i="6"/>
  <c r="J8" i="6" s="1"/>
  <c r="H15" i="6"/>
  <c r="J15" i="6" s="1"/>
  <c r="N17" i="6"/>
  <c r="R17" i="6" s="1"/>
  <c r="T17" i="6" s="1"/>
  <c r="R15" i="6"/>
  <c r="T15" i="6" s="1"/>
  <c r="P42" i="5"/>
  <c r="P45" i="5" s="1"/>
  <c r="P49" i="5" s="1"/>
  <c r="P51" i="5" s="1"/>
  <c r="S59" i="5"/>
  <c r="S62" i="5" s="1"/>
  <c r="S66" i="5" s="1"/>
  <c r="S68" i="5" s="1"/>
  <c r="R46" i="5"/>
  <c r="T46" i="5" s="1"/>
  <c r="R8" i="5"/>
  <c r="T8" i="5" s="1"/>
  <c r="R64" i="5"/>
  <c r="T64" i="5" s="1"/>
  <c r="R44" i="5"/>
  <c r="T44" i="5" s="1"/>
  <c r="R57" i="5"/>
  <c r="T57" i="5" s="1"/>
  <c r="R67" i="5"/>
  <c r="T67" i="5" s="1"/>
  <c r="H8" i="5"/>
  <c r="J8" i="5" s="1"/>
  <c r="O42" i="5"/>
  <c r="O45" i="5" s="1"/>
  <c r="O49" i="5" s="1"/>
  <c r="O51" i="5" s="1"/>
  <c r="R41" i="5"/>
  <c r="T41" i="5" s="1"/>
  <c r="O59" i="5"/>
  <c r="O62" i="5" s="1"/>
  <c r="O66" i="5" s="1"/>
  <c r="O68" i="5" s="1"/>
  <c r="R58" i="5"/>
  <c r="T58" i="5" s="1"/>
  <c r="R63" i="5"/>
  <c r="T63" i="5" s="1"/>
  <c r="Q42" i="5"/>
  <c r="Q45" i="5" s="1"/>
  <c r="Q49" i="5" s="1"/>
  <c r="Q51" i="5" s="1"/>
  <c r="R43" i="5"/>
  <c r="T43" i="5" s="1"/>
  <c r="Q59" i="5"/>
  <c r="Q62" i="5" s="1"/>
  <c r="Q66" i="5" s="1"/>
  <c r="Q68" i="5" s="1"/>
  <c r="N59" i="4"/>
  <c r="N62" i="4" s="1"/>
  <c r="S59" i="4"/>
  <c r="S62" i="4" s="1"/>
  <c r="S66" i="4" s="1"/>
  <c r="S68" i="4" s="1"/>
  <c r="P42" i="4"/>
  <c r="P45" i="4" s="1"/>
  <c r="P49" i="4" s="1"/>
  <c r="P51" i="4" s="1"/>
  <c r="N42" i="4"/>
  <c r="N45" i="4" s="1"/>
  <c r="N49" i="4" s="1"/>
  <c r="O59" i="4"/>
  <c r="O62" i="4" s="1"/>
  <c r="O66" i="4" s="1"/>
  <c r="O68" i="4" s="1"/>
  <c r="Q42" i="4"/>
  <c r="Q45" i="4" s="1"/>
  <c r="Q49" i="4" s="1"/>
  <c r="Q51" i="4" s="1"/>
  <c r="R50" i="4"/>
  <c r="T50" i="4" s="1"/>
  <c r="R64" i="4"/>
  <c r="T64" i="4" s="1"/>
  <c r="S42" i="4"/>
  <c r="S45" i="4" s="1"/>
  <c r="S49" i="4" s="1"/>
  <c r="S51" i="4" s="1"/>
  <c r="R58" i="4"/>
  <c r="T58" i="4" s="1"/>
  <c r="R61" i="4"/>
  <c r="T61" i="4" s="1"/>
  <c r="R63" i="4"/>
  <c r="T63" i="4" s="1"/>
  <c r="R67" i="4"/>
  <c r="T67" i="4" s="1"/>
  <c r="R48" i="4"/>
  <c r="T48" i="4" s="1"/>
  <c r="Q59" i="4"/>
  <c r="Q62" i="4" s="1"/>
  <c r="Q66" i="4" s="1"/>
  <c r="Q68" i="4" s="1"/>
  <c r="R60" i="4"/>
  <c r="T60" i="4" s="1"/>
  <c r="Q25" i="4"/>
  <c r="Q28" i="4" s="1"/>
  <c r="Q32" i="4" s="1"/>
  <c r="Q34" i="4" s="1"/>
  <c r="R43" i="4"/>
  <c r="T43" i="4" s="1"/>
  <c r="R47" i="4"/>
  <c r="T47" i="4" s="1"/>
  <c r="P59" i="4"/>
  <c r="P62" i="4" s="1"/>
  <c r="P66" i="4" s="1"/>
  <c r="P68" i="4" s="1"/>
  <c r="H15" i="5"/>
  <c r="J15" i="5" s="1"/>
  <c r="D17" i="5"/>
  <c r="H17" i="5" s="1"/>
  <c r="J17" i="5" s="1"/>
  <c r="I32" i="5"/>
  <c r="N11" i="5"/>
  <c r="H25" i="5"/>
  <c r="P25" i="5"/>
  <c r="P28" i="5" s="1"/>
  <c r="P32" i="5" s="1"/>
  <c r="P34" i="5" s="1"/>
  <c r="J26" i="5"/>
  <c r="D28" i="5"/>
  <c r="R29" i="5"/>
  <c r="T29" i="5" s="1"/>
  <c r="R31" i="5"/>
  <c r="T31" i="5" s="1"/>
  <c r="R48" i="5"/>
  <c r="T48" i="5" s="1"/>
  <c r="N25" i="5"/>
  <c r="R23" i="5"/>
  <c r="T23" i="5" s="1"/>
  <c r="R26" i="5"/>
  <c r="T26" i="5" s="1"/>
  <c r="R24" i="5"/>
  <c r="T24" i="5" s="1"/>
  <c r="S25" i="5"/>
  <c r="S28" i="5" s="1"/>
  <c r="S32" i="5" s="1"/>
  <c r="S34" i="5" s="1"/>
  <c r="R27" i="5"/>
  <c r="T27" i="5" s="1"/>
  <c r="F28" i="5"/>
  <c r="R30" i="5"/>
  <c r="T30" i="5" s="1"/>
  <c r="R47" i="5"/>
  <c r="T47" i="5" s="1"/>
  <c r="H11" i="5"/>
  <c r="J11" i="5" s="1"/>
  <c r="Q25" i="5"/>
  <c r="Q28" i="5" s="1"/>
  <c r="Q32" i="5" s="1"/>
  <c r="Q34" i="5" s="1"/>
  <c r="E28" i="5"/>
  <c r="J30" i="5"/>
  <c r="R33" i="5"/>
  <c r="T33" i="5" s="1"/>
  <c r="O25" i="5"/>
  <c r="O28" i="5" s="1"/>
  <c r="O32" i="5" s="1"/>
  <c r="O34" i="5" s="1"/>
  <c r="J29" i="5"/>
  <c r="J31" i="5"/>
  <c r="R60" i="5"/>
  <c r="T60" i="5" s="1"/>
  <c r="N42" i="5"/>
  <c r="R40" i="5"/>
  <c r="T40" i="5" s="1"/>
  <c r="R50" i="5"/>
  <c r="T50" i="5" s="1"/>
  <c r="N59" i="5"/>
  <c r="R61" i="5"/>
  <c r="T61" i="5" s="1"/>
  <c r="R65" i="5"/>
  <c r="T65" i="5" s="1"/>
  <c r="P59" i="5"/>
  <c r="P62" i="5" s="1"/>
  <c r="P66" i="5" s="1"/>
  <c r="P68" i="5" s="1"/>
  <c r="G28" i="5"/>
  <c r="I66" i="4"/>
  <c r="N15" i="4"/>
  <c r="R11" i="4"/>
  <c r="T11" i="4" s="1"/>
  <c r="H8" i="4"/>
  <c r="J8" i="4" s="1"/>
  <c r="H11" i="4"/>
  <c r="J11" i="4" s="1"/>
  <c r="O25" i="4"/>
  <c r="O28" i="4" s="1"/>
  <c r="O32" i="4" s="1"/>
  <c r="O34" i="4" s="1"/>
  <c r="P25" i="4"/>
  <c r="P28" i="4" s="1"/>
  <c r="P32" i="4" s="1"/>
  <c r="P34" i="4" s="1"/>
  <c r="R41" i="4"/>
  <c r="T41" i="4" s="1"/>
  <c r="F66" i="4"/>
  <c r="H15" i="4"/>
  <c r="J15" i="4" s="1"/>
  <c r="D32" i="4"/>
  <c r="H28" i="4"/>
  <c r="J28" i="4" s="1"/>
  <c r="R27" i="4"/>
  <c r="T27" i="4" s="1"/>
  <c r="R57" i="4"/>
  <c r="T57" i="4" s="1"/>
  <c r="G66" i="4"/>
  <c r="R8" i="4"/>
  <c r="T8" i="4" s="1"/>
  <c r="D17" i="4"/>
  <c r="H17" i="4" s="1"/>
  <c r="J17" i="4" s="1"/>
  <c r="R24" i="4"/>
  <c r="T24" i="4" s="1"/>
  <c r="R31" i="4"/>
  <c r="T31" i="4" s="1"/>
  <c r="H45" i="4"/>
  <c r="J45" i="4" s="1"/>
  <c r="R44" i="4"/>
  <c r="T44" i="4" s="1"/>
  <c r="D49" i="4"/>
  <c r="S25" i="4"/>
  <c r="S28" i="4" s="1"/>
  <c r="S32" i="4" s="1"/>
  <c r="S34" i="4" s="1"/>
  <c r="N25" i="4"/>
  <c r="R29" i="4"/>
  <c r="T29" i="4" s="1"/>
  <c r="R30" i="4"/>
  <c r="T30" i="4" s="1"/>
  <c r="E62" i="4"/>
  <c r="H62" i="4" s="1"/>
  <c r="D66" i="4"/>
  <c r="R40" i="4"/>
  <c r="T40" i="4" s="1"/>
  <c r="R65" i="4"/>
  <c r="T65" i="4" s="1"/>
  <c r="R23" i="4"/>
  <c r="T23" i="4" s="1"/>
  <c r="H25" i="4"/>
  <c r="J25" i="4" s="1"/>
  <c r="R26" i="4"/>
  <c r="T26" i="4" s="1"/>
  <c r="R33" i="4"/>
  <c r="T33" i="4" s="1"/>
  <c r="O42" i="4"/>
  <c r="R46" i="4"/>
  <c r="T46" i="4" s="1"/>
  <c r="J58" i="4"/>
  <c r="H59" i="4"/>
  <c r="J67" i="4"/>
  <c r="H42" i="4"/>
  <c r="J42" i="4" s="1"/>
  <c r="R66" i="6" l="1"/>
  <c r="T66" i="6" s="1"/>
  <c r="R87" i="7"/>
  <c r="T87" i="7" s="1"/>
  <c r="N89" i="7"/>
  <c r="R89" i="7" s="1"/>
  <c r="T89" i="7" s="1"/>
  <c r="N59" i="7"/>
  <c r="R59" i="7" s="1"/>
  <c r="T59" i="7" s="1"/>
  <c r="R57" i="7"/>
  <c r="T57" i="7" s="1"/>
  <c r="R113" i="7"/>
  <c r="T113" i="7" s="1"/>
  <c r="N117" i="7"/>
  <c r="R104" i="7"/>
  <c r="T104" i="7" s="1"/>
  <c r="N106" i="7"/>
  <c r="R106" i="7" s="1"/>
  <c r="T106" i="7" s="1"/>
  <c r="N51" i="6"/>
  <c r="R51" i="6" s="1"/>
  <c r="T51" i="6" s="1"/>
  <c r="R49" i="6"/>
  <c r="T49" i="6" s="1"/>
  <c r="R28" i="6"/>
  <c r="T28" i="6" s="1"/>
  <c r="N32" i="6"/>
  <c r="R59" i="4"/>
  <c r="T59" i="4" s="1"/>
  <c r="N28" i="5"/>
  <c r="R25" i="5"/>
  <c r="T25" i="5" s="1"/>
  <c r="H28" i="5"/>
  <c r="D32" i="5"/>
  <c r="J25" i="5"/>
  <c r="I34" i="5"/>
  <c r="G32" i="5"/>
  <c r="R42" i="5"/>
  <c r="T42" i="5" s="1"/>
  <c r="N45" i="5"/>
  <c r="N62" i="5"/>
  <c r="R59" i="5"/>
  <c r="T59" i="5" s="1"/>
  <c r="E32" i="5"/>
  <c r="F32" i="5"/>
  <c r="N15" i="5"/>
  <c r="R11" i="5"/>
  <c r="T11" i="5" s="1"/>
  <c r="G68" i="4"/>
  <c r="I68" i="4"/>
  <c r="D68" i="4"/>
  <c r="J62" i="4"/>
  <c r="J59" i="4"/>
  <c r="O45" i="4"/>
  <c r="R42" i="4"/>
  <c r="T42" i="4" s="1"/>
  <c r="E66" i="4"/>
  <c r="R25" i="4"/>
  <c r="T25" i="4" s="1"/>
  <c r="N28" i="4"/>
  <c r="F68" i="4"/>
  <c r="N66" i="4"/>
  <c r="R62" i="4"/>
  <c r="T62" i="4" s="1"/>
  <c r="D51" i="4"/>
  <c r="H51" i="4" s="1"/>
  <c r="J51" i="4" s="1"/>
  <c r="H49" i="4"/>
  <c r="J49" i="4" s="1"/>
  <c r="D34" i="4"/>
  <c r="H34" i="4" s="1"/>
  <c r="J34" i="4" s="1"/>
  <c r="H32" i="4"/>
  <c r="J32" i="4" s="1"/>
  <c r="N51" i="4"/>
  <c r="N17" i="4"/>
  <c r="R17" i="4" s="1"/>
  <c r="T17" i="4" s="1"/>
  <c r="R15" i="4"/>
  <c r="T15" i="4" s="1"/>
  <c r="N119" i="7" l="1"/>
  <c r="R119" i="7" s="1"/>
  <c r="T119" i="7" s="1"/>
  <c r="R117" i="7"/>
  <c r="T117" i="7" s="1"/>
  <c r="N34" i="6"/>
  <c r="R34" i="6" s="1"/>
  <c r="T34" i="6" s="1"/>
  <c r="R32" i="6"/>
  <c r="T32" i="6" s="1"/>
  <c r="J28" i="5"/>
  <c r="F34" i="5"/>
  <c r="E34" i="5"/>
  <c r="R45" i="5"/>
  <c r="T45" i="5" s="1"/>
  <c r="N49" i="5"/>
  <c r="R15" i="5"/>
  <c r="T15" i="5" s="1"/>
  <c r="N17" i="5"/>
  <c r="R17" i="5" s="1"/>
  <c r="T17" i="5" s="1"/>
  <c r="R62" i="5"/>
  <c r="T62" i="5" s="1"/>
  <c r="N66" i="5"/>
  <c r="G34" i="5"/>
  <c r="D34" i="5"/>
  <c r="H32" i="5"/>
  <c r="R28" i="5"/>
  <c r="T28" i="5" s="1"/>
  <c r="N32" i="5"/>
  <c r="O49" i="4"/>
  <c r="R45" i="4"/>
  <c r="T45" i="4" s="1"/>
  <c r="R66" i="4"/>
  <c r="T66" i="4" s="1"/>
  <c r="N68" i="4"/>
  <c r="R68" i="4" s="1"/>
  <c r="T68" i="4" s="1"/>
  <c r="E68" i="4"/>
  <c r="H68" i="4" s="1"/>
  <c r="H66" i="4"/>
  <c r="N32" i="4"/>
  <c r="R28" i="4"/>
  <c r="T28" i="4" s="1"/>
  <c r="R49" i="5" l="1"/>
  <c r="T49" i="5" s="1"/>
  <c r="N51" i="5"/>
  <c r="R51" i="5" s="1"/>
  <c r="T51" i="5" s="1"/>
  <c r="H34" i="5"/>
  <c r="N68" i="5"/>
  <c r="R68" i="5" s="1"/>
  <c r="T68" i="5" s="1"/>
  <c r="R66" i="5"/>
  <c r="T66" i="5" s="1"/>
  <c r="N34" i="5"/>
  <c r="R34" i="5" s="1"/>
  <c r="T34" i="5" s="1"/>
  <c r="R32" i="5"/>
  <c r="T32" i="5" s="1"/>
  <c r="J32" i="5"/>
  <c r="R32" i="4"/>
  <c r="T32" i="4" s="1"/>
  <c r="N34" i="4"/>
  <c r="R34" i="4" s="1"/>
  <c r="T34" i="4" s="1"/>
  <c r="J68" i="4"/>
  <c r="O51" i="4"/>
  <c r="R51" i="4" s="1"/>
  <c r="T51" i="4" s="1"/>
  <c r="R49" i="4"/>
  <c r="T49" i="4" s="1"/>
  <c r="J66" i="4"/>
  <c r="J34" i="5" l="1"/>
  <c r="AV71" i="3" l="1"/>
  <c r="AV72" i="3"/>
  <c r="AV73" i="3"/>
  <c r="AV74" i="3"/>
  <c r="AV75" i="3"/>
  <c r="AV76" i="3"/>
  <c r="AV77" i="3"/>
  <c r="AV78" i="3"/>
  <c r="AV79" i="3"/>
  <c r="AV80" i="3"/>
  <c r="AV81" i="3"/>
  <c r="AV50" i="3"/>
  <c r="AV51" i="3"/>
  <c r="AV52" i="3"/>
  <c r="AV53" i="3"/>
  <c r="AV54" i="3"/>
  <c r="AV55" i="3"/>
  <c r="AV57" i="3"/>
  <c r="AV58" i="3"/>
  <c r="AV59" i="3"/>
  <c r="AV60" i="3"/>
  <c r="AV61" i="3"/>
  <c r="AV62" i="3"/>
  <c r="AV63" i="3"/>
  <c r="AV64" i="3"/>
  <c r="AV65" i="3"/>
  <c r="AV66" i="3"/>
  <c r="AV67" i="3"/>
  <c r="AV68" i="3"/>
  <c r="AV45" i="3"/>
  <c r="AV47" i="3"/>
  <c r="AV33" i="3"/>
  <c r="AV34" i="3"/>
  <c r="AV35" i="3"/>
  <c r="AV37" i="3"/>
  <c r="AV39" i="3"/>
  <c r="AV40" i="3"/>
  <c r="AV42" i="3"/>
  <c r="AV43" i="3"/>
  <c r="AV13" i="3"/>
  <c r="AV14" i="3"/>
  <c r="AV15" i="3"/>
  <c r="AV16" i="3"/>
  <c r="AV17" i="3"/>
  <c r="AV19" i="3"/>
  <c r="AV20" i="3"/>
  <c r="AV22" i="3"/>
  <c r="AV23" i="3"/>
  <c r="AV24" i="3"/>
  <c r="AV25" i="3"/>
  <c r="AV26" i="3"/>
  <c r="AV27" i="3"/>
  <c r="AV28" i="3"/>
  <c r="AV30" i="3"/>
  <c r="AV31" i="3"/>
  <c r="AV11" i="3"/>
  <c r="AU81" i="3"/>
  <c r="AU80" i="3"/>
  <c r="AU79" i="3"/>
  <c r="AU78" i="3"/>
  <c r="AU77" i="3"/>
  <c r="AU76" i="3"/>
  <c r="AU75" i="3"/>
  <c r="AU74" i="3"/>
  <c r="AU73" i="3"/>
  <c r="AU72" i="3"/>
  <c r="AU71" i="3"/>
  <c r="AU68" i="3"/>
  <c r="AU67" i="3"/>
  <c r="AU66" i="3"/>
  <c r="AU65" i="3"/>
  <c r="AU64" i="3"/>
  <c r="AU63" i="3"/>
  <c r="AU62" i="3"/>
  <c r="AU61" i="3"/>
  <c r="AU60" i="3"/>
  <c r="AU59" i="3"/>
  <c r="AU58" i="3"/>
  <c r="AU57" i="3"/>
  <c r="AU55" i="3"/>
  <c r="AU54" i="3"/>
  <c r="AU53" i="3"/>
  <c r="AU52" i="3"/>
  <c r="AU51" i="3"/>
  <c r="AU50" i="3"/>
  <c r="AU47" i="3"/>
  <c r="AU45" i="3"/>
  <c r="AU43" i="3"/>
  <c r="AU42" i="3"/>
  <c r="AU40" i="3"/>
  <c r="AU39" i="3"/>
  <c r="AU37" i="3"/>
  <c r="AU35" i="3"/>
  <c r="AU34" i="3"/>
  <c r="AU33" i="3"/>
  <c r="AU31" i="3"/>
  <c r="AU30" i="3"/>
  <c r="AU28" i="3"/>
  <c r="AU27" i="3"/>
  <c r="AU26" i="3"/>
  <c r="AU25" i="3"/>
  <c r="AU24" i="3"/>
  <c r="AU23" i="3"/>
  <c r="AU22" i="3"/>
  <c r="AU20" i="3"/>
  <c r="AU19" i="3"/>
  <c r="AU17" i="3"/>
  <c r="AU16" i="3"/>
  <c r="AU15" i="3"/>
  <c r="AU14" i="3"/>
  <c r="AU13" i="3"/>
  <c r="AU11" i="3"/>
  <c r="AR71" i="3"/>
  <c r="AS71" i="3"/>
  <c r="AR72" i="3"/>
  <c r="AS72" i="3"/>
  <c r="AR73" i="3"/>
  <c r="AS73" i="3"/>
  <c r="AR74" i="3"/>
  <c r="AS74" i="3"/>
  <c r="AR75" i="3"/>
  <c r="AS75" i="3"/>
  <c r="AR76" i="3"/>
  <c r="AS76" i="3"/>
  <c r="AR77" i="3"/>
  <c r="AS77" i="3"/>
  <c r="AR78" i="3"/>
  <c r="AS78" i="3"/>
  <c r="AR79" i="3"/>
  <c r="AS79" i="3"/>
  <c r="AR80" i="3"/>
  <c r="AS80" i="3"/>
  <c r="AR81" i="3"/>
  <c r="AS81" i="3"/>
  <c r="AR50" i="3"/>
  <c r="AS50" i="3"/>
  <c r="AR51" i="3"/>
  <c r="AS51" i="3"/>
  <c r="AR52" i="3"/>
  <c r="AS52" i="3"/>
  <c r="AR53" i="3"/>
  <c r="AS53" i="3"/>
  <c r="AR54" i="3"/>
  <c r="AS54" i="3"/>
  <c r="AR55" i="3"/>
  <c r="AS55" i="3"/>
  <c r="AR57" i="3"/>
  <c r="AS57" i="3"/>
  <c r="AR58" i="3"/>
  <c r="AS58" i="3"/>
  <c r="AR59" i="3"/>
  <c r="AS59" i="3"/>
  <c r="AR60" i="3"/>
  <c r="AS60" i="3"/>
  <c r="AR61" i="3"/>
  <c r="AS61" i="3"/>
  <c r="AR62" i="3"/>
  <c r="AS62" i="3"/>
  <c r="AR63" i="3"/>
  <c r="AS63" i="3"/>
  <c r="AR64" i="3"/>
  <c r="AS64" i="3"/>
  <c r="AR65" i="3"/>
  <c r="AS65" i="3"/>
  <c r="AR66" i="3"/>
  <c r="AS66" i="3"/>
  <c r="AR67" i="3"/>
  <c r="AS67" i="3"/>
  <c r="AR68" i="3"/>
  <c r="AS68" i="3"/>
  <c r="AR45" i="3"/>
  <c r="AS45" i="3"/>
  <c r="AR47" i="3"/>
  <c r="AS47" i="3"/>
  <c r="AR33" i="3"/>
  <c r="AS33" i="3"/>
  <c r="AR34" i="3"/>
  <c r="AS34" i="3"/>
  <c r="AR35" i="3"/>
  <c r="AS35" i="3"/>
  <c r="AR37" i="3"/>
  <c r="AS37" i="3"/>
  <c r="AR39" i="3"/>
  <c r="AS39" i="3"/>
  <c r="AR40" i="3"/>
  <c r="AS40" i="3"/>
  <c r="AR42" i="3"/>
  <c r="AS42" i="3"/>
  <c r="AR43" i="3"/>
  <c r="AS43" i="3"/>
  <c r="AR13" i="3"/>
  <c r="AS13" i="3"/>
  <c r="AR14" i="3"/>
  <c r="AS14" i="3"/>
  <c r="AR15" i="3"/>
  <c r="AS15" i="3"/>
  <c r="AR16" i="3"/>
  <c r="AS16" i="3"/>
  <c r="AR17" i="3"/>
  <c r="AS17" i="3"/>
  <c r="AR19" i="3"/>
  <c r="AS19" i="3"/>
  <c r="AR20" i="3"/>
  <c r="AS20" i="3"/>
  <c r="AR22" i="3"/>
  <c r="AS22" i="3"/>
  <c r="AR23" i="3"/>
  <c r="AS23" i="3"/>
  <c r="AR24" i="3"/>
  <c r="AS24" i="3"/>
  <c r="AR25" i="3"/>
  <c r="AS25" i="3"/>
  <c r="AR26" i="3"/>
  <c r="AS26" i="3"/>
  <c r="AR27" i="3"/>
  <c r="AS27" i="3"/>
  <c r="AR28" i="3"/>
  <c r="AS28" i="3"/>
  <c r="AR30" i="3"/>
  <c r="AS30" i="3"/>
  <c r="AR31" i="3"/>
  <c r="AS31" i="3"/>
  <c r="AR11" i="3"/>
  <c r="AS11" i="3"/>
  <c r="AQ81" i="3"/>
  <c r="AQ80" i="3"/>
  <c r="AQ79" i="3"/>
  <c r="AQ78" i="3"/>
  <c r="AQ77" i="3"/>
  <c r="AQ76" i="3"/>
  <c r="AQ75" i="3"/>
  <c r="AQ74" i="3"/>
  <c r="AQ73" i="3"/>
  <c r="AQ72" i="3"/>
  <c r="AQ71" i="3"/>
  <c r="AQ68" i="3"/>
  <c r="AQ67" i="3"/>
  <c r="AQ66" i="3"/>
  <c r="AQ65" i="3"/>
  <c r="AQ64" i="3"/>
  <c r="AQ63" i="3"/>
  <c r="AQ62" i="3"/>
  <c r="AQ61" i="3"/>
  <c r="AQ60" i="3"/>
  <c r="AQ59" i="3"/>
  <c r="AQ58" i="3"/>
  <c r="AQ57" i="3"/>
  <c r="AQ55" i="3"/>
  <c r="AQ54" i="3"/>
  <c r="AQ53" i="3"/>
  <c r="AQ52" i="3"/>
  <c r="AQ51" i="3"/>
  <c r="AQ50" i="3"/>
  <c r="AQ47" i="3"/>
  <c r="AQ45" i="3"/>
  <c r="AQ43" i="3"/>
  <c r="AQ42" i="3"/>
  <c r="AQ40" i="3"/>
  <c r="AQ39" i="3"/>
  <c r="AQ37" i="3"/>
  <c r="AQ35" i="3"/>
  <c r="AQ34" i="3"/>
  <c r="AQ33" i="3"/>
  <c r="AQ31" i="3"/>
  <c r="AQ30" i="3"/>
  <c r="AQ28" i="3"/>
  <c r="AQ27" i="3"/>
  <c r="AQ26" i="3"/>
  <c r="AQ25" i="3"/>
  <c r="AQ24" i="3"/>
  <c r="AQ23" i="3"/>
  <c r="AQ22" i="3"/>
  <c r="AQ20" i="3"/>
  <c r="AQ19" i="3"/>
  <c r="AQ17" i="3"/>
  <c r="AQ16" i="3"/>
  <c r="AQ15" i="3"/>
  <c r="AQ14" i="3"/>
  <c r="AQ13" i="3"/>
  <c r="AQ11" i="3"/>
  <c r="AN71" i="3"/>
  <c r="AO71" i="3"/>
  <c r="AN72" i="3"/>
  <c r="AO72" i="3"/>
  <c r="AN73" i="3"/>
  <c r="AO73" i="3"/>
  <c r="AN74" i="3"/>
  <c r="AO74" i="3"/>
  <c r="AN75" i="3"/>
  <c r="AO75" i="3"/>
  <c r="AN76" i="3"/>
  <c r="AO76" i="3"/>
  <c r="AN77" i="3"/>
  <c r="AO77" i="3"/>
  <c r="AN78" i="3"/>
  <c r="AO78" i="3"/>
  <c r="AN79" i="3"/>
  <c r="AO79" i="3"/>
  <c r="AN80" i="3"/>
  <c r="AO80" i="3"/>
  <c r="AN81" i="3"/>
  <c r="AO81" i="3"/>
  <c r="AN50" i="3"/>
  <c r="AO50" i="3"/>
  <c r="AN51" i="3"/>
  <c r="AO51" i="3"/>
  <c r="AN52" i="3"/>
  <c r="AO52" i="3"/>
  <c r="AN53" i="3"/>
  <c r="AO53" i="3"/>
  <c r="AN54" i="3"/>
  <c r="AO54" i="3"/>
  <c r="AN55" i="3"/>
  <c r="AO55" i="3"/>
  <c r="AN57" i="3"/>
  <c r="AO57" i="3"/>
  <c r="AN58" i="3"/>
  <c r="AO58" i="3"/>
  <c r="AN59" i="3"/>
  <c r="AO59" i="3"/>
  <c r="AN60" i="3"/>
  <c r="AO60" i="3"/>
  <c r="AN61" i="3"/>
  <c r="AO61" i="3"/>
  <c r="AN62" i="3"/>
  <c r="AO62" i="3"/>
  <c r="AN63" i="3"/>
  <c r="AO63" i="3"/>
  <c r="AN64" i="3"/>
  <c r="AO64" i="3"/>
  <c r="AN65" i="3"/>
  <c r="AO65" i="3"/>
  <c r="AN66" i="3"/>
  <c r="AO66" i="3"/>
  <c r="AN67" i="3"/>
  <c r="AO67" i="3"/>
  <c r="AN68" i="3"/>
  <c r="AO68" i="3"/>
  <c r="AN45" i="3"/>
  <c r="AO45" i="3"/>
  <c r="AN47" i="3"/>
  <c r="AO47" i="3"/>
  <c r="AN33" i="3"/>
  <c r="AO33" i="3"/>
  <c r="AN34" i="3"/>
  <c r="AO34" i="3"/>
  <c r="AN35" i="3"/>
  <c r="AO35" i="3"/>
  <c r="AN37" i="3"/>
  <c r="AO37" i="3"/>
  <c r="AN39" i="3"/>
  <c r="AO39" i="3"/>
  <c r="AN40" i="3"/>
  <c r="AO40" i="3"/>
  <c r="AN42" i="3"/>
  <c r="AO42" i="3"/>
  <c r="AN43" i="3"/>
  <c r="AO43" i="3"/>
  <c r="AN13" i="3"/>
  <c r="AO13" i="3"/>
  <c r="AN14" i="3"/>
  <c r="AO14" i="3"/>
  <c r="AN15" i="3"/>
  <c r="AO15" i="3"/>
  <c r="AN16" i="3"/>
  <c r="AO16" i="3"/>
  <c r="AN17" i="3"/>
  <c r="AO17" i="3"/>
  <c r="AN19" i="3"/>
  <c r="AO19" i="3"/>
  <c r="AN20" i="3"/>
  <c r="AO20" i="3"/>
  <c r="AN22" i="3"/>
  <c r="AO22" i="3"/>
  <c r="AN23" i="3"/>
  <c r="AO23" i="3"/>
  <c r="AN24" i="3"/>
  <c r="AO24" i="3"/>
  <c r="AN25" i="3"/>
  <c r="AO25" i="3"/>
  <c r="AN26" i="3"/>
  <c r="AO26" i="3"/>
  <c r="AN27" i="3"/>
  <c r="AO27" i="3"/>
  <c r="AN28" i="3"/>
  <c r="AO28" i="3"/>
  <c r="AN30" i="3"/>
  <c r="AO30" i="3"/>
  <c r="AN31" i="3"/>
  <c r="AO31" i="3"/>
  <c r="AN11" i="3"/>
  <c r="AO11" i="3"/>
  <c r="AM81" i="3"/>
  <c r="AM80" i="3"/>
  <c r="AM79" i="3"/>
  <c r="AM78" i="3"/>
  <c r="AM77" i="3"/>
  <c r="AM76" i="3"/>
  <c r="AM75" i="3"/>
  <c r="AM74" i="3"/>
  <c r="AM73" i="3"/>
  <c r="AM72" i="3"/>
  <c r="AM71" i="3"/>
  <c r="AM68" i="3"/>
  <c r="AM67" i="3"/>
  <c r="AM66" i="3"/>
  <c r="AM65" i="3"/>
  <c r="AM64" i="3"/>
  <c r="AM63" i="3"/>
  <c r="AM62" i="3"/>
  <c r="AM61" i="3"/>
  <c r="AM60" i="3"/>
  <c r="AM59" i="3"/>
  <c r="AM58" i="3"/>
  <c r="AM57" i="3"/>
  <c r="AM55" i="3"/>
  <c r="AM54" i="3"/>
  <c r="AM53" i="3"/>
  <c r="AM52" i="3"/>
  <c r="AM51" i="3"/>
  <c r="AM50" i="3"/>
  <c r="AM47" i="3"/>
  <c r="AM45" i="3"/>
  <c r="AM43" i="3"/>
  <c r="AM42" i="3"/>
  <c r="AM40" i="3"/>
  <c r="AM39" i="3"/>
  <c r="AM37" i="3"/>
  <c r="AM35" i="3"/>
  <c r="AM34" i="3"/>
  <c r="AM33" i="3"/>
  <c r="AM31" i="3"/>
  <c r="AM30" i="3"/>
  <c r="AM28" i="3"/>
  <c r="AM27" i="3"/>
  <c r="AM26" i="3"/>
  <c r="AM25" i="3"/>
  <c r="AM24" i="3"/>
  <c r="AM23" i="3"/>
  <c r="AM22" i="3"/>
  <c r="AM20" i="3"/>
  <c r="AM19" i="3"/>
  <c r="AM17" i="3"/>
  <c r="AM16" i="3"/>
  <c r="AM15" i="3"/>
  <c r="AM14" i="3"/>
  <c r="AM13" i="3"/>
  <c r="AM11" i="3"/>
  <c r="AW82" i="3"/>
  <c r="AT82" i="3"/>
  <c r="AP82" i="3"/>
  <c r="AL82" i="3"/>
  <c r="AW69" i="3"/>
  <c r="AT69" i="3"/>
  <c r="AP69" i="3"/>
  <c r="AL69" i="3"/>
  <c r="AW12" i="3"/>
  <c r="AW32" i="3" s="1"/>
  <c r="AW44" i="3" s="1"/>
  <c r="AW48" i="3" s="1"/>
  <c r="AT12" i="3"/>
  <c r="AT32" i="3" s="1"/>
  <c r="AT44" i="3" s="1"/>
  <c r="AT48" i="3" s="1"/>
  <c r="AP12" i="3"/>
  <c r="AP32" i="3" s="1"/>
  <c r="AP44" i="3" s="1"/>
  <c r="AP48" i="3" s="1"/>
  <c r="AL12" i="3"/>
  <c r="AL32" i="3" s="1"/>
  <c r="AL44" i="3" s="1"/>
  <c r="AL48" i="3" s="1"/>
  <c r="AN12" i="3" l="1"/>
  <c r="AN32" i="3" s="1"/>
  <c r="AN44" i="3" s="1"/>
  <c r="AN48" i="3" s="1"/>
  <c r="AM69" i="3"/>
  <c r="AM82" i="3"/>
  <c r="AS82" i="3"/>
  <c r="AN69" i="3"/>
  <c r="AN82" i="3"/>
  <c r="AS69" i="3"/>
  <c r="AT83" i="3"/>
  <c r="AQ82" i="3"/>
  <c r="AO12" i="3"/>
  <c r="AO32" i="3" s="1"/>
  <c r="AO44" i="3" s="1"/>
  <c r="AO48" i="3" s="1"/>
  <c r="AR12" i="3"/>
  <c r="AR32" i="3" s="1"/>
  <c r="AR44" i="3" s="1"/>
  <c r="AR48" i="3" s="1"/>
  <c r="AV69" i="3"/>
  <c r="AO82" i="3"/>
  <c r="AP83" i="3"/>
  <c r="AO69" i="3"/>
  <c r="AR82" i="3"/>
  <c r="AU12" i="3"/>
  <c r="AU32" i="3" s="1"/>
  <c r="AU44" i="3" s="1"/>
  <c r="AU48" i="3" s="1"/>
  <c r="AU69" i="3"/>
  <c r="AL83" i="3"/>
  <c r="AL87" i="3" s="1"/>
  <c r="AM85" i="3" s="1"/>
  <c r="AM12" i="3"/>
  <c r="AM32" i="3" s="1"/>
  <c r="AM44" i="3" s="1"/>
  <c r="AM48" i="3" s="1"/>
  <c r="AQ12" i="3"/>
  <c r="AQ32" i="3" s="1"/>
  <c r="AQ44" i="3" s="1"/>
  <c r="AQ48" i="3" s="1"/>
  <c r="AR69" i="3"/>
  <c r="AV12" i="3"/>
  <c r="AV32" i="3" s="1"/>
  <c r="AV44" i="3" s="1"/>
  <c r="AV48" i="3" s="1"/>
  <c r="AW83" i="3"/>
  <c r="AQ69" i="3"/>
  <c r="AS12" i="3"/>
  <c r="AS32" i="3" s="1"/>
  <c r="AS44" i="3" s="1"/>
  <c r="AS48" i="3" s="1"/>
  <c r="AU82" i="3"/>
  <c r="AV82" i="3"/>
  <c r="AM83" i="3" l="1"/>
  <c r="AM87" i="3" s="1"/>
  <c r="AN85" i="3" s="1"/>
  <c r="AS83" i="3"/>
  <c r="AN83" i="3"/>
  <c r="AQ83" i="3"/>
  <c r="AR83" i="3"/>
  <c r="AU83" i="3"/>
  <c r="AV83" i="3"/>
  <c r="AO83" i="3"/>
  <c r="AN87" i="3" l="1"/>
  <c r="AO85" i="3" s="1"/>
  <c r="AO87" i="3" s="1"/>
  <c r="AP85" i="3" s="1"/>
  <c r="AP87" i="3" s="1"/>
  <c r="AQ85" i="3" s="1"/>
  <c r="AQ87" i="3" s="1"/>
  <c r="AR85" i="3" s="1"/>
  <c r="AR87" i="3" s="1"/>
  <c r="AS85" i="3" s="1"/>
  <c r="AS87" i="3" s="1"/>
  <c r="AT85" i="3" s="1"/>
  <c r="AT87" i="3" s="1"/>
  <c r="AU85" i="3" s="1"/>
  <c r="AU87" i="3" s="1"/>
  <c r="AV85" i="3" s="1"/>
  <c r="AV87" i="3" s="1"/>
  <c r="AW85" i="3" s="1"/>
  <c r="AW87" i="3" s="1"/>
  <c r="AX85" i="3" s="1"/>
  <c r="AX87" i="3" s="1"/>
  <c r="AY85" i="3" s="1"/>
  <c r="AY87" i="3" s="1"/>
  <c r="AZ85" i="3" s="1"/>
  <c r="AZ87" i="3" s="1"/>
  <c r="BA85" i="3" s="1"/>
  <c r="BA87" i="3" s="1"/>
  <c r="BB85" i="3" s="1"/>
  <c r="BB87" i="3" s="1"/>
  <c r="BC85" i="3" s="1"/>
  <c r="BC87" i="3" s="1"/>
  <c r="BD85" i="3" s="1"/>
  <c r="BD87" i="3" s="1"/>
  <c r="BE85" i="3" s="1"/>
  <c r="BE87" i="3" s="1"/>
  <c r="BF85" i="3" s="1"/>
  <c r="BF87" i="3" s="1"/>
  <c r="BG85" i="3" s="1"/>
  <c r="BG87" i="3" s="1"/>
  <c r="BH85" i="3" s="1"/>
  <c r="BH87" i="3" s="1"/>
  <c r="BI85" i="3" s="1"/>
  <c r="BI87" i="3" s="1"/>
  <c r="BJ85" i="3" s="1"/>
  <c r="BJ87" i="3" s="1"/>
  <c r="BK85" i="3" s="1"/>
  <c r="BK87" i="3" s="1"/>
  <c r="BL85" i="3" s="1"/>
  <c r="BL87" i="3" s="1"/>
  <c r="BM85" i="3" s="1"/>
  <c r="D82" i="3"/>
  <c r="E82" i="3"/>
  <c r="F82" i="3"/>
  <c r="G82" i="3"/>
  <c r="H22" i="16" s="1"/>
  <c r="D69" i="3"/>
  <c r="E69" i="3"/>
  <c r="F69" i="3"/>
  <c r="G69" i="3"/>
  <c r="H21" i="16" s="1"/>
  <c r="D12" i="3"/>
  <c r="D32" i="3" s="1"/>
  <c r="D44" i="3" s="1"/>
  <c r="D48" i="3" s="1"/>
  <c r="E12" i="3"/>
  <c r="E32" i="3" s="1"/>
  <c r="E44" i="3" s="1"/>
  <c r="E48" i="3" s="1"/>
  <c r="F12" i="3"/>
  <c r="F32" i="3" s="1"/>
  <c r="F44" i="3" s="1"/>
  <c r="F48" i="3" s="1"/>
  <c r="G12" i="3"/>
  <c r="G32" i="3" s="1"/>
  <c r="G44" i="3" s="1"/>
  <c r="G48" i="3" s="1"/>
  <c r="D83" i="3" l="1"/>
  <c r="D87" i="3" s="1"/>
  <c r="AL89" i="3" s="1"/>
  <c r="G83" i="3"/>
  <c r="G87" i="3" s="1"/>
  <c r="AO89" i="3" s="1"/>
  <c r="H20" i="16"/>
  <c r="H23" i="16" s="1"/>
  <c r="F83" i="3"/>
  <c r="F87" i="3" s="1"/>
  <c r="AN89" i="3" s="1"/>
  <c r="E83" i="3"/>
  <c r="E87" i="3" s="1"/>
  <c r="AM89" i="3" s="1"/>
  <c r="K82" i="3"/>
  <c r="I22" i="16" s="1"/>
  <c r="L82" i="3"/>
  <c r="M82" i="3"/>
  <c r="N82" i="3"/>
  <c r="O82" i="3"/>
  <c r="J22" i="16" s="1"/>
  <c r="H82" i="3"/>
  <c r="I82" i="3"/>
  <c r="K69" i="3"/>
  <c r="I21" i="16" s="1"/>
  <c r="L69" i="3"/>
  <c r="M69" i="3"/>
  <c r="N69" i="3"/>
  <c r="O69" i="3"/>
  <c r="H69" i="3"/>
  <c r="I69" i="3"/>
  <c r="K12" i="3"/>
  <c r="K32" i="3" s="1"/>
  <c r="K44" i="3" s="1"/>
  <c r="K48" i="3" s="1"/>
  <c r="I20" i="16" s="1"/>
  <c r="L12" i="3"/>
  <c r="L32" i="3" s="1"/>
  <c r="L44" i="3" s="1"/>
  <c r="L48" i="3" s="1"/>
  <c r="M12" i="3"/>
  <c r="M32" i="3" s="1"/>
  <c r="M44" i="3" s="1"/>
  <c r="M48" i="3" s="1"/>
  <c r="N12" i="3"/>
  <c r="N32" i="3" s="1"/>
  <c r="N44" i="3" s="1"/>
  <c r="N48" i="3" s="1"/>
  <c r="O12" i="3"/>
  <c r="O32" i="3" s="1"/>
  <c r="O44" i="3" s="1"/>
  <c r="O48" i="3" s="1"/>
  <c r="J20" i="16" s="1"/>
  <c r="H12" i="3"/>
  <c r="H32" i="3" s="1"/>
  <c r="H44" i="3" s="1"/>
  <c r="H48" i="3" s="1"/>
  <c r="I12" i="3"/>
  <c r="I32" i="3" s="1"/>
  <c r="I44" i="3" s="1"/>
  <c r="I48" i="3" s="1"/>
  <c r="J82" i="3"/>
  <c r="J69" i="3"/>
  <c r="J12" i="3"/>
  <c r="J21" i="16" l="1"/>
  <c r="J23" i="16" s="1"/>
  <c r="I23" i="16"/>
  <c r="L83" i="3"/>
  <c r="L87" i="3" s="1"/>
  <c r="AT89" i="3" s="1"/>
  <c r="I83" i="3"/>
  <c r="I87" i="3" s="1"/>
  <c r="AQ89" i="3" s="1"/>
  <c r="M83" i="3"/>
  <c r="M87" i="3" s="1"/>
  <c r="AU89" i="3" s="1"/>
  <c r="O83" i="3"/>
  <c r="N83" i="3"/>
  <c r="N87" i="3" s="1"/>
  <c r="AV89" i="3" s="1"/>
  <c r="K83" i="3"/>
  <c r="K87" i="3" s="1"/>
  <c r="AS89" i="3" s="1"/>
  <c r="H83" i="3"/>
  <c r="H87" i="3" s="1"/>
  <c r="AP89" i="3" s="1"/>
  <c r="J32" i="3"/>
  <c r="J44" i="3" s="1"/>
  <c r="J48" i="3" s="1"/>
  <c r="J83" i="3" s="1"/>
  <c r="J87" i="3" s="1"/>
  <c r="AR89" i="3" s="1"/>
  <c r="O87" i="3" l="1"/>
  <c r="P85" i="3" s="1"/>
  <c r="P87" i="3" s="1"/>
  <c r="AM105" i="2"/>
  <c r="AL105" i="2"/>
  <c r="AM104" i="2"/>
  <c r="AL104" i="2"/>
  <c r="AM103" i="2"/>
  <c r="AL103" i="2"/>
  <c r="AM102" i="2"/>
  <c r="AL102" i="2"/>
  <c r="AM101" i="2"/>
  <c r="AL101" i="2"/>
  <c r="AM100" i="2"/>
  <c r="AL100" i="2"/>
  <c r="AM98" i="2"/>
  <c r="AL98" i="2"/>
  <c r="AM97" i="2"/>
  <c r="AL97" i="2"/>
  <c r="AM93" i="2"/>
  <c r="AL93" i="2"/>
  <c r="AM92" i="2"/>
  <c r="AL92" i="2"/>
  <c r="AM91" i="2"/>
  <c r="AL91" i="2"/>
  <c r="AM89" i="2"/>
  <c r="AL89" i="2"/>
  <c r="AM88" i="2"/>
  <c r="AL88" i="2"/>
  <c r="AM85" i="2"/>
  <c r="AL85" i="2"/>
  <c r="AM84" i="2"/>
  <c r="AL84" i="2"/>
  <c r="AM83" i="2"/>
  <c r="AL83" i="2"/>
  <c r="AM82" i="2"/>
  <c r="AL82" i="2"/>
  <c r="AM78" i="2"/>
  <c r="AL78" i="2"/>
  <c r="AM77" i="2"/>
  <c r="AL77" i="2"/>
  <c r="AM76" i="2"/>
  <c r="AL76" i="2"/>
  <c r="AM74" i="2"/>
  <c r="AL74" i="2"/>
  <c r="AM73" i="2"/>
  <c r="AL73" i="2"/>
  <c r="AM69" i="2"/>
  <c r="I29" i="16" s="1"/>
  <c r="AL69" i="2"/>
  <c r="H29" i="16" s="1"/>
  <c r="AM68" i="2"/>
  <c r="AL68" i="2"/>
  <c r="AM67" i="2"/>
  <c r="AL67" i="2"/>
  <c r="AM66" i="2"/>
  <c r="AL66" i="2"/>
  <c r="AM64" i="2"/>
  <c r="AL64" i="2"/>
  <c r="AM62" i="2"/>
  <c r="AL62" i="2"/>
  <c r="AM61" i="2"/>
  <c r="AL61" i="2"/>
  <c r="AM60" i="2"/>
  <c r="AL60" i="2"/>
  <c r="AM57" i="2"/>
  <c r="I30" i="16" s="1"/>
  <c r="AL57" i="2"/>
  <c r="H30" i="16" s="1"/>
  <c r="AM53" i="2"/>
  <c r="AL53" i="2"/>
  <c r="AM50" i="2"/>
  <c r="AL50" i="2"/>
  <c r="AM49" i="2"/>
  <c r="AL49" i="2"/>
  <c r="AM48" i="2"/>
  <c r="AL48" i="2"/>
  <c r="AM47" i="2"/>
  <c r="AL47" i="2"/>
  <c r="AM46" i="2"/>
  <c r="AL46" i="2"/>
  <c r="AM44" i="2"/>
  <c r="AL44" i="2"/>
  <c r="AM43" i="2"/>
  <c r="AL43" i="2"/>
  <c r="AM41" i="2"/>
  <c r="AL41" i="2"/>
  <c r="AM40" i="2"/>
  <c r="AL40" i="2"/>
  <c r="AM38" i="2"/>
  <c r="AL38" i="2"/>
  <c r="AM37" i="2"/>
  <c r="AL37" i="2"/>
  <c r="AM36" i="2"/>
  <c r="AL36" i="2"/>
  <c r="AM35" i="2"/>
  <c r="AL35" i="2"/>
  <c r="AM33" i="2"/>
  <c r="AL33" i="2"/>
  <c r="AM32" i="2"/>
  <c r="AL32" i="2"/>
  <c r="AM30" i="2"/>
  <c r="AL30" i="2"/>
  <c r="AM27" i="2"/>
  <c r="AL27" i="2"/>
  <c r="AM26" i="2"/>
  <c r="AL26" i="2"/>
  <c r="AM25" i="2"/>
  <c r="AL25" i="2"/>
  <c r="AM23" i="2"/>
  <c r="AL23" i="2"/>
  <c r="AM22" i="2"/>
  <c r="AL22" i="2"/>
  <c r="AM20" i="2"/>
  <c r="AL20" i="2"/>
  <c r="AM19" i="2"/>
  <c r="AL19" i="2"/>
  <c r="AM17" i="2"/>
  <c r="AL17" i="2"/>
  <c r="AM16" i="2"/>
  <c r="AL16" i="2"/>
  <c r="AM15" i="2"/>
  <c r="AL15" i="2"/>
  <c r="AM14" i="2"/>
  <c r="AL14" i="2"/>
  <c r="AM13" i="2"/>
  <c r="AL13" i="2"/>
  <c r="AM12" i="2"/>
  <c r="AL12" i="2"/>
  <c r="AM11" i="2"/>
  <c r="AL11" i="2"/>
  <c r="S85" i="3" l="1"/>
  <c r="R85" i="3"/>
  <c r="R87" i="3" s="1"/>
  <c r="AW89" i="3"/>
  <c r="Q85" i="3"/>
  <c r="Q87" i="3" s="1"/>
  <c r="J65" i="2"/>
  <c r="S87" i="3" l="1"/>
  <c r="D18" i="2"/>
  <c r="E18" i="2"/>
  <c r="F18" i="2"/>
  <c r="H18" i="2"/>
  <c r="I18" i="2"/>
  <c r="J18" i="2"/>
  <c r="K18" i="2"/>
  <c r="AM18" i="2" s="1"/>
  <c r="L18" i="2"/>
  <c r="M18" i="2"/>
  <c r="N18" i="2"/>
  <c r="H99" i="2"/>
  <c r="I99" i="2"/>
  <c r="J99" i="2"/>
  <c r="K99" i="2"/>
  <c r="AM99" i="2" s="1"/>
  <c r="L99" i="2"/>
  <c r="M99" i="2"/>
  <c r="D99" i="2"/>
  <c r="E99" i="2"/>
  <c r="F99" i="2"/>
  <c r="H90" i="2"/>
  <c r="I90" i="2"/>
  <c r="J90" i="2"/>
  <c r="K90" i="2"/>
  <c r="AM90" i="2" s="1"/>
  <c r="L90" i="2"/>
  <c r="M90" i="2"/>
  <c r="N90" i="2"/>
  <c r="D90" i="2"/>
  <c r="E90" i="2"/>
  <c r="F90" i="2"/>
  <c r="G90" i="2"/>
  <c r="AL90" i="2" s="1"/>
  <c r="H87" i="2"/>
  <c r="I87" i="2"/>
  <c r="J87" i="2"/>
  <c r="K87" i="2"/>
  <c r="AM87" i="2" s="1"/>
  <c r="L87" i="2"/>
  <c r="M87" i="2"/>
  <c r="D87" i="2"/>
  <c r="E87" i="2"/>
  <c r="F87" i="2"/>
  <c r="G87" i="2"/>
  <c r="H75" i="2"/>
  <c r="I75" i="2"/>
  <c r="J75" i="2"/>
  <c r="K75" i="2"/>
  <c r="AM75" i="2" s="1"/>
  <c r="L75" i="2"/>
  <c r="M75" i="2"/>
  <c r="D75" i="2"/>
  <c r="E75" i="2"/>
  <c r="F75" i="2"/>
  <c r="H72" i="2"/>
  <c r="I72" i="2"/>
  <c r="J72" i="2"/>
  <c r="K72" i="2"/>
  <c r="AM72" i="2" s="1"/>
  <c r="L72" i="2"/>
  <c r="M72" i="2"/>
  <c r="D72" i="2"/>
  <c r="E72" i="2"/>
  <c r="F72" i="2"/>
  <c r="H65" i="2"/>
  <c r="H56" i="2" s="1"/>
  <c r="H55" i="2" s="1"/>
  <c r="I65" i="2"/>
  <c r="I56" i="2" s="1"/>
  <c r="I55" i="2" s="1"/>
  <c r="J56" i="2"/>
  <c r="J55" i="2" s="1"/>
  <c r="K65" i="2"/>
  <c r="AM65" i="2" s="1"/>
  <c r="L65" i="2"/>
  <c r="L56" i="2" s="1"/>
  <c r="L55" i="2" s="1"/>
  <c r="M65" i="2"/>
  <c r="M56" i="2" s="1"/>
  <c r="M55" i="2" s="1"/>
  <c r="N65" i="2"/>
  <c r="D65" i="2"/>
  <c r="D56" i="2" s="1"/>
  <c r="D55" i="2" s="1"/>
  <c r="E65" i="2"/>
  <c r="E56" i="2" s="1"/>
  <c r="E55" i="2" s="1"/>
  <c r="F65" i="2"/>
  <c r="F56" i="2" s="1"/>
  <c r="F55" i="2" s="1"/>
  <c r="H45" i="2"/>
  <c r="I45" i="2"/>
  <c r="J45" i="2"/>
  <c r="K45" i="2"/>
  <c r="AM45" i="2" s="1"/>
  <c r="L45" i="2"/>
  <c r="M45" i="2"/>
  <c r="D45" i="2"/>
  <c r="E45" i="2"/>
  <c r="F45" i="2"/>
  <c r="D42" i="2"/>
  <c r="E42" i="2"/>
  <c r="F42" i="2"/>
  <c r="H42" i="2"/>
  <c r="I42" i="2"/>
  <c r="J42" i="2"/>
  <c r="K42" i="2"/>
  <c r="AM42" i="2" s="1"/>
  <c r="L42" i="2"/>
  <c r="M42" i="2"/>
  <c r="G42" i="2"/>
  <c r="AL42" i="2" s="1"/>
  <c r="D39" i="2"/>
  <c r="E39" i="2"/>
  <c r="F39" i="2"/>
  <c r="H39" i="2"/>
  <c r="I39" i="2"/>
  <c r="J39" i="2"/>
  <c r="K39" i="2"/>
  <c r="AM39" i="2" s="1"/>
  <c r="L39" i="2"/>
  <c r="M39" i="2"/>
  <c r="N39" i="2"/>
  <c r="G39" i="2"/>
  <c r="AL39" i="2" s="1"/>
  <c r="H34" i="2"/>
  <c r="I34" i="2"/>
  <c r="J34" i="2"/>
  <c r="K34" i="2"/>
  <c r="AM34" i="2" s="1"/>
  <c r="L34" i="2"/>
  <c r="M34" i="2"/>
  <c r="N34" i="2"/>
  <c r="D34" i="2"/>
  <c r="E34" i="2"/>
  <c r="F34" i="2"/>
  <c r="G34" i="2"/>
  <c r="AL34" i="2" s="1"/>
  <c r="H24" i="2"/>
  <c r="I24" i="2"/>
  <c r="J24" i="2"/>
  <c r="K24" i="2"/>
  <c r="AM24" i="2" s="1"/>
  <c r="L24" i="2"/>
  <c r="M24" i="2"/>
  <c r="D24" i="2"/>
  <c r="E24" i="2"/>
  <c r="F24" i="2"/>
  <c r="G24" i="2"/>
  <c r="AL24" i="2" s="1"/>
  <c r="H21" i="2"/>
  <c r="I21" i="2"/>
  <c r="J21" i="2"/>
  <c r="L21" i="2"/>
  <c r="M21" i="2"/>
  <c r="D21" i="2"/>
  <c r="E21" i="2"/>
  <c r="F21" i="2"/>
  <c r="G99" i="2"/>
  <c r="AL99" i="2" s="1"/>
  <c r="G65" i="2"/>
  <c r="AL65" i="2" s="1"/>
  <c r="G45" i="2"/>
  <c r="AL45" i="2" s="1"/>
  <c r="T85" i="3" l="1"/>
  <c r="T87" i="3" s="1"/>
  <c r="U85" i="3"/>
  <c r="U87" i="3" s="1"/>
  <c r="D86" i="2"/>
  <c r="K56" i="2"/>
  <c r="H10" i="2"/>
  <c r="AL87" i="2"/>
  <c r="G86" i="2"/>
  <c r="AL86" i="2" s="1"/>
  <c r="H32" i="16" s="1"/>
  <c r="F86" i="2"/>
  <c r="J31" i="2"/>
  <c r="H71" i="2"/>
  <c r="H86" i="2"/>
  <c r="E10" i="2"/>
  <c r="L71" i="2"/>
  <c r="J86" i="2"/>
  <c r="M10" i="2"/>
  <c r="D71" i="2"/>
  <c r="F10" i="2"/>
  <c r="J10" i="2"/>
  <c r="D10" i="2"/>
  <c r="J71" i="2"/>
  <c r="E71" i="2"/>
  <c r="K71" i="2"/>
  <c r="AM71" i="2" s="1"/>
  <c r="I31" i="16" s="1"/>
  <c r="D31" i="2"/>
  <c r="F31" i="2"/>
  <c r="L10" i="2"/>
  <c r="N56" i="2"/>
  <c r="N55" i="2" s="1"/>
  <c r="F71" i="2"/>
  <c r="M86" i="2"/>
  <c r="L86" i="2"/>
  <c r="L70" i="2" s="1"/>
  <c r="L106" i="2" s="1"/>
  <c r="L31" i="2"/>
  <c r="I86" i="2"/>
  <c r="E86" i="2"/>
  <c r="K86" i="2"/>
  <c r="AM86" i="2" s="1"/>
  <c r="I32" i="16" s="1"/>
  <c r="M71" i="2"/>
  <c r="I71" i="2"/>
  <c r="G31" i="2"/>
  <c r="AL31" i="2" s="1"/>
  <c r="H27" i="16" s="1"/>
  <c r="E31" i="2"/>
  <c r="I31" i="2"/>
  <c r="M31" i="2"/>
  <c r="H31" i="2"/>
  <c r="I10" i="2"/>
  <c r="G56" i="2"/>
  <c r="G75" i="2"/>
  <c r="AL75" i="2" s="1"/>
  <c r="G18" i="2"/>
  <c r="AL18" i="2" s="1"/>
  <c r="K31" i="2"/>
  <c r="AM31" i="2" s="1"/>
  <c r="I27" i="16" s="1"/>
  <c r="D70" i="2" l="1"/>
  <c r="D106" i="2" s="1"/>
  <c r="H54" i="2"/>
  <c r="H70" i="2"/>
  <c r="H106" i="2" s="1"/>
  <c r="F70" i="2"/>
  <c r="F106" i="2" s="1"/>
  <c r="G55" i="2"/>
  <c r="AL55" i="2" s="1"/>
  <c r="H28" i="16" s="1"/>
  <c r="H34" i="16" s="1"/>
  <c r="AL56" i="2"/>
  <c r="K55" i="2"/>
  <c r="AM55" i="2" s="1"/>
  <c r="I28" i="16" s="1"/>
  <c r="I34" i="16" s="1"/>
  <c r="AM56" i="2"/>
  <c r="E54" i="2"/>
  <c r="E70" i="2"/>
  <c r="E106" i="2" s="1"/>
  <c r="F54" i="2"/>
  <c r="J70" i="2"/>
  <c r="J106" i="2" s="1"/>
  <c r="J54" i="2"/>
  <c r="M54" i="2"/>
  <c r="I70" i="2"/>
  <c r="I106" i="2" s="1"/>
  <c r="D54" i="2"/>
  <c r="I54" i="2"/>
  <c r="M70" i="2"/>
  <c r="M106" i="2" s="1"/>
  <c r="L54" i="2"/>
  <c r="K70" i="2"/>
  <c r="AM70" i="2" s="1"/>
  <c r="H62" i="1"/>
  <c r="H48" i="1"/>
  <c r="H26" i="1"/>
  <c r="H20" i="1"/>
  <c r="I62" i="1"/>
  <c r="J62" i="1"/>
  <c r="K62" i="1"/>
  <c r="H59" i="1"/>
  <c r="I59" i="1"/>
  <c r="J59" i="1"/>
  <c r="K59" i="1"/>
  <c r="I48" i="1"/>
  <c r="J48" i="1"/>
  <c r="K48" i="1"/>
  <c r="I26" i="1"/>
  <c r="J26" i="1"/>
  <c r="K26" i="1"/>
  <c r="I20" i="1"/>
  <c r="J20" i="1"/>
  <c r="K20" i="1"/>
  <c r="H13" i="1"/>
  <c r="I13" i="1"/>
  <c r="J13" i="1"/>
  <c r="K13" i="1"/>
  <c r="H10" i="1"/>
  <c r="I10" i="1"/>
  <c r="J10" i="1"/>
  <c r="K10" i="1"/>
  <c r="K16" i="1" s="1"/>
  <c r="K19" i="1" s="1"/>
  <c r="M48" i="1"/>
  <c r="N48" i="1"/>
  <c r="O48" i="1"/>
  <c r="P48" i="1"/>
  <c r="Q48" i="1"/>
  <c r="R48" i="1"/>
  <c r="L48" i="1"/>
  <c r="O62" i="1"/>
  <c r="O59" i="1"/>
  <c r="O20" i="1"/>
  <c r="O26" i="1"/>
  <c r="O13" i="1"/>
  <c r="O10" i="1"/>
  <c r="R62" i="1"/>
  <c r="R59" i="1"/>
  <c r="R26" i="1"/>
  <c r="R20" i="1"/>
  <c r="M62" i="1"/>
  <c r="N62" i="1"/>
  <c r="M59" i="1"/>
  <c r="N59" i="1"/>
  <c r="N26" i="1"/>
  <c r="H16" i="1" l="1"/>
  <c r="I16" i="1"/>
  <c r="I19" i="1" s="1"/>
  <c r="I25" i="1" s="1"/>
  <c r="I39" i="1" s="1"/>
  <c r="I41" i="1" s="1"/>
  <c r="O16" i="1"/>
  <c r="O19" i="1" s="1"/>
  <c r="O25" i="1" s="1"/>
  <c r="O30" i="1" s="1" a="1"/>
  <c r="O30" i="1" s="1"/>
  <c r="O33" i="1" s="1"/>
  <c r="O37" i="1" s="1"/>
  <c r="O58" i="1" s="1"/>
  <c r="K106" i="2"/>
  <c r="AM106" i="2" s="1"/>
  <c r="K25" i="1"/>
  <c r="K39" i="1" s="1"/>
  <c r="K41" i="1" s="1"/>
  <c r="J16" i="1"/>
  <c r="J19" i="1" s="1"/>
  <c r="J25" i="1" s="1"/>
  <c r="J39" i="1" s="1"/>
  <c r="J41" i="1" s="1"/>
  <c r="H19" i="1"/>
  <c r="H25" i="1" s="1"/>
  <c r="H39" i="1" s="1"/>
  <c r="H41" i="1" s="1"/>
  <c r="N20" i="1"/>
  <c r="N13" i="1"/>
  <c r="N10" i="1"/>
  <c r="P62" i="1"/>
  <c r="L62" i="1"/>
  <c r="P59" i="1"/>
  <c r="L59" i="1"/>
  <c r="P26" i="1"/>
  <c r="L26" i="1"/>
  <c r="P20" i="1"/>
  <c r="L20" i="1"/>
  <c r="P13" i="1"/>
  <c r="L13" i="1"/>
  <c r="P10" i="1"/>
  <c r="L10" i="1"/>
  <c r="Q62" i="1"/>
  <c r="Q59" i="1"/>
  <c r="M26" i="1"/>
  <c r="Q26" i="1"/>
  <c r="M20" i="1"/>
  <c r="Q20" i="1"/>
  <c r="M13" i="1"/>
  <c r="R13" i="1"/>
  <c r="Q13" i="1"/>
  <c r="Q10" i="1"/>
  <c r="M10" i="1"/>
  <c r="R10" i="1"/>
  <c r="I42" i="1" l="1"/>
  <c r="K42" i="1"/>
  <c r="H42" i="1"/>
  <c r="J42" i="1"/>
  <c r="N16" i="1"/>
  <c r="N19" i="1" s="1"/>
  <c r="N25" i="1" s="1"/>
  <c r="N30" i="1" s="1" a="1"/>
  <c r="N30" i="1" s="1"/>
  <c r="N33" i="1" s="1"/>
  <c r="N37" i="1" s="1"/>
  <c r="N58" i="1" s="1"/>
  <c r="R16" i="1"/>
  <c r="R19" i="1" s="1"/>
  <c r="R25" i="1" s="1"/>
  <c r="R30" i="1" s="1" a="1"/>
  <c r="R30" i="1" s="1"/>
  <c r="R33" i="1" s="1"/>
  <c r="R37" i="1" s="1"/>
  <c r="R58" i="1" s="1"/>
  <c r="L16" i="1"/>
  <c r="L19" i="1" s="1"/>
  <c r="L25" i="1" s="1"/>
  <c r="L30" i="1" s="1" a="1"/>
  <c r="L30" i="1" s="1"/>
  <c r="L33" i="1" s="1"/>
  <c r="L37" i="1" s="1"/>
  <c r="L58" i="1" s="1"/>
  <c r="I30" i="1" a="1"/>
  <c r="I30" i="1" s="1"/>
  <c r="I33" i="1" s="1"/>
  <c r="I37" i="1" s="1"/>
  <c r="I58" i="1" s="1"/>
  <c r="K30" i="1" a="1"/>
  <c r="K30" i="1" s="1"/>
  <c r="K33" i="1" s="1"/>
  <c r="K37" i="1" s="1"/>
  <c r="K58" i="1" s="1"/>
  <c r="J30" i="1" a="1"/>
  <c r="J30" i="1" s="1"/>
  <c r="J33" i="1" s="1"/>
  <c r="J37" i="1" s="1"/>
  <c r="J58" i="1" s="1"/>
  <c r="H30" i="1" a="1"/>
  <c r="H30" i="1" s="1"/>
  <c r="H33" i="1" s="1"/>
  <c r="H37" i="1" s="1"/>
  <c r="H58" i="1" s="1"/>
  <c r="Q16" i="1"/>
  <c r="Q19" i="1" s="1"/>
  <c r="Q25" i="1" s="1"/>
  <c r="Q30" i="1" s="1" a="1"/>
  <c r="Q30" i="1" s="1"/>
  <c r="Q33" i="1" s="1"/>
  <c r="Q37" i="1" s="1"/>
  <c r="Q58" i="1" s="1"/>
  <c r="O39" i="1"/>
  <c r="O41" i="1" s="1"/>
  <c r="P16" i="1"/>
  <c r="P19" i="1" s="1"/>
  <c r="P25" i="1" s="1"/>
  <c r="P39" i="1" s="1"/>
  <c r="M16" i="1"/>
  <c r="M19" i="1" s="1"/>
  <c r="M25" i="1" s="1"/>
  <c r="M39" i="1" s="1"/>
  <c r="M41" i="1" s="1"/>
  <c r="M42" i="1" l="1"/>
  <c r="O42" i="1"/>
  <c r="R39" i="1"/>
  <c r="R41" i="1" s="1"/>
  <c r="L39" i="1"/>
  <c r="Q39" i="1"/>
  <c r="Q41" i="1" s="1"/>
  <c r="M30" i="1" a="1"/>
  <c r="M30" i="1" s="1"/>
  <c r="M33" i="1" s="1"/>
  <c r="M37" i="1" s="1"/>
  <c r="M58" i="1" s="1"/>
  <c r="P30" i="1" a="1"/>
  <c r="P30" i="1" s="1"/>
  <c r="P33" i="1" s="1"/>
  <c r="P37" i="1" s="1"/>
  <c r="P58" i="1" s="1"/>
  <c r="N39" i="1"/>
  <c r="P41" i="1"/>
  <c r="L41" i="1"/>
  <c r="R42" i="1" l="1"/>
  <c r="L42" i="1"/>
  <c r="P42" i="1"/>
  <c r="Q42" i="1"/>
  <c r="N41" i="1"/>
  <c r="G21" i="2"/>
  <c r="K21" i="2"/>
  <c r="AM21" i="2" s="1"/>
  <c r="N21" i="2"/>
  <c r="N24" i="2"/>
  <c r="N42" i="2"/>
  <c r="N45" i="2"/>
  <c r="G72" i="2"/>
  <c r="N72" i="2"/>
  <c r="N75" i="2"/>
  <c r="N87" i="2"/>
  <c r="N99" i="2"/>
  <c r="N86" i="2" l="1"/>
  <c r="N42" i="1"/>
  <c r="N31" i="2"/>
  <c r="G71" i="2"/>
  <c r="AL72" i="2"/>
  <c r="K10" i="2"/>
  <c r="AM10" i="2" s="1"/>
  <c r="I26" i="16" s="1"/>
  <c r="I25" i="16" s="1"/>
  <c r="G10" i="2"/>
  <c r="AL10" i="2" s="1"/>
  <c r="H26" i="16" s="1"/>
  <c r="H25" i="16" s="1"/>
  <c r="AL21" i="2"/>
  <c r="N10" i="2"/>
  <c r="N71" i="2"/>
  <c r="N70" i="2" l="1"/>
  <c r="N106" i="2" s="1"/>
  <c r="N54" i="2"/>
  <c r="G70" i="2"/>
  <c r="AL71" i="2"/>
  <c r="H31" i="16" s="1"/>
  <c r="K54" i="2"/>
  <c r="AM54" i="2" s="1"/>
  <c r="G54" i="2"/>
  <c r="AL54" i="2" s="1"/>
  <c r="G106" i="2" l="1"/>
  <c r="AL106" i="2" s="1"/>
  <c r="AL70" i="2"/>
  <c r="W21" i="14"/>
  <c r="W26" i="14" s="1"/>
  <c r="L22" i="13"/>
  <c r="L21" i="13" l="1"/>
  <c r="L26" i="13" s="1"/>
  <c r="W40" i="14"/>
  <c r="W42" i="14" s="1"/>
  <c r="W43" i="14" s="1"/>
  <c r="W31" i="14" a="1"/>
  <c r="W31" i="14" s="1"/>
  <c r="W34" i="14" s="1"/>
  <c r="W38" i="14" s="1"/>
  <c r="W59" i="14" s="1"/>
  <c r="L40" i="13" l="1"/>
  <c r="L31" i="13" a="1"/>
  <c r="L31" i="13" s="1"/>
  <c r="K11" i="16"/>
  <c r="L34" i="13" l="1"/>
  <c r="K13" i="16"/>
  <c r="L42" i="13"/>
  <c r="K12" i="16" l="1"/>
  <c r="L43" i="13"/>
  <c r="L38" i="13"/>
  <c r="L59" i="13" l="1"/>
  <c r="K14" i="16"/>
  <c r="AI21" i="14"/>
  <c r="AI26" i="14" s="1"/>
  <c r="O21" i="13"/>
  <c r="O26" i="13" l="1"/>
  <c r="AI31" i="14"/>
  <c r="AI34" i="14" s="1"/>
  <c r="AI38" i="14" s="1"/>
  <c r="AI59" i="14" s="1"/>
  <c r="AI40" i="14"/>
  <c r="AI42" i="14" s="1"/>
  <c r="AI43" i="14" s="1"/>
  <c r="N11" i="16" l="1"/>
  <c r="O31" i="13"/>
  <c r="O40" i="13"/>
  <c r="O42" i="13" l="1"/>
  <c r="O43" i="13" s="1"/>
  <c r="N13" i="16"/>
  <c r="O34" i="13"/>
  <c r="N12" i="16" l="1"/>
  <c r="O38" i="13"/>
  <c r="O59" i="13" l="1"/>
  <c r="N14" i="16"/>
  <c r="BM44" i="3"/>
  <c r="BM48" i="3" s="1"/>
  <c r="BM83" i="3" s="1"/>
  <c r="BM87" i="3" s="1"/>
  <c r="BN85" i="3" l="1"/>
  <c r="BN87" i="3" l="1"/>
  <c r="BO85" i="3" s="1"/>
  <c r="BO87" i="3" s="1"/>
  <c r="BP85" i="3" s="1"/>
  <c r="BP87" i="3" s="1"/>
  <c r="BQ85" i="3" s="1"/>
  <c r="BQ87" i="3" s="1"/>
  <c r="BR85" i="3" s="1"/>
  <c r="BR8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61" authorId="0" shapeId="0" xr:uid="{3E8D2B23-E024-4860-ADD4-3C6378715330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2" authorId="0" shapeId="0" xr:uid="{F31A7168-6729-434C-A95A-2B4E77D288EC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64" authorId="0" shapeId="0" xr:uid="{76432834-7DFF-47D5-B64E-9F40249947AC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5" authorId="0" shapeId="0" xr:uid="{A325D12A-9F4D-497B-A37D-900B2070F739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<sst xmlns="http://schemas.openxmlformats.org/spreadsheetml/2006/main" count="1827" uniqueCount="369">
  <si>
    <t>Przychody ze sprzedaży dóbr i usług</t>
  </si>
  <si>
    <t xml:space="preserve"> - jednostkom powiązanym</t>
  </si>
  <si>
    <t xml:space="preserve"> - pozostałym jednostkom</t>
  </si>
  <si>
    <t>Zysk (strata) brutto ze sprzedaży</t>
  </si>
  <si>
    <t>Koszty sprzedaży</t>
  </si>
  <si>
    <t>Koszty ogólnego zarządu</t>
  </si>
  <si>
    <t>Zysk (strata) ze sprzedaży</t>
  </si>
  <si>
    <t>Udział w zyskach jednostek objętych konsolidacją metodą praw własności</t>
  </si>
  <si>
    <t>Zysk (strata) z działalności operacyjnej</t>
  </si>
  <si>
    <t>Zysk (strata) przed opodatkowaniem</t>
  </si>
  <si>
    <t>Bieżący podatek dochodowy</t>
  </si>
  <si>
    <t>Odroczony podatek dochodowy</t>
  </si>
  <si>
    <t>Zysk (strata) netto z działalności kontynuowanej</t>
  </si>
  <si>
    <t>Działalność zaniechana</t>
  </si>
  <si>
    <t>Zysk (strata) netto z działalności zaniechanej</t>
  </si>
  <si>
    <t>Działalność kontynuowana i zaniechana</t>
  </si>
  <si>
    <t>Zysk (strata) netto</t>
  </si>
  <si>
    <t>Różnice kursowe z przeliczenia jednostek zagranicznych</t>
  </si>
  <si>
    <t>Wynik na rachunkowości zabezpieczeń wraz z efektem podatkowym</t>
  </si>
  <si>
    <t>Całkowite dochody ogółem</t>
  </si>
  <si>
    <t>Zysk (strata) netto, z tego przypadający:</t>
  </si>
  <si>
    <t>Całkowite dochody ogółem, z tego przypadające:</t>
  </si>
  <si>
    <t>Amortyzacja</t>
  </si>
  <si>
    <t>EBITDA</t>
  </si>
  <si>
    <t>30.09.2020</t>
  </si>
  <si>
    <t>30.09.2019</t>
  </si>
  <si>
    <t>Działalność kontynuowana</t>
  </si>
  <si>
    <t>Przychody (koszty) restrukturyzacji</t>
  </si>
  <si>
    <t>Objęcie kontroli nad jednostką zależną (ujemna wartość firmy)</t>
  </si>
  <si>
    <t>Skutki wyceny aktywów finansowych dostępnych do sprzedaży</t>
  </si>
  <si>
    <t>Skutki aktualizacji majątku trwałego</t>
  </si>
  <si>
    <t>Udział w innych całkowitych dochodach jednostek stowarzyszonych</t>
  </si>
  <si>
    <t>Podatek dochodowy dotyczący innych całkowitych dochodów</t>
  </si>
  <si>
    <t>Koszt własny sprzedaży</t>
  </si>
  <si>
    <t>Wynik na pozostałej działalności operacyjnej, w tym:</t>
  </si>
  <si>
    <t>Przychody</t>
  </si>
  <si>
    <t>Koszty</t>
  </si>
  <si>
    <t>Wynik na działalności finansowej, w tym:</t>
  </si>
  <si>
    <t>Inne całkowite dochody / (koszty)</t>
  </si>
  <si>
    <t>Inne całkowite dochody / (koszty) netto</t>
  </si>
  <si>
    <t>Pozycje, które mogą w przyszłości być przeklasyfikowane do wyniku finansowego:</t>
  </si>
  <si>
    <t>Pozycje, które w przyszłości nie będą przeklasyfikowane do wyniku finansowego:</t>
  </si>
  <si>
    <t>Zyski i straty aktuarialne</t>
  </si>
  <si>
    <t>akcjonariuszom spółki</t>
  </si>
  <si>
    <t>akcjonariuszom niesprawującym kontroli</t>
  </si>
  <si>
    <t>31.03.2020</t>
  </si>
  <si>
    <t>31.03.2019</t>
  </si>
  <si>
    <t>31.12.2019</t>
  </si>
  <si>
    <t>31.03.2018</t>
  </si>
  <si>
    <t>30.09.2018</t>
  </si>
  <si>
    <t>31.12.2018</t>
  </si>
  <si>
    <t>01.01.2017</t>
  </si>
  <si>
    <t>od 01.04.2017</t>
  </si>
  <si>
    <t>01.07.2017</t>
  </si>
  <si>
    <t>01.10.2017</t>
  </si>
  <si>
    <t xml:space="preserve"> - od jednostek powiązanych</t>
  </si>
  <si>
    <t xml:space="preserve"> - od pozostałych jednostek</t>
  </si>
  <si>
    <t>31.12.2020</t>
  </si>
  <si>
    <t>SPRAWOZDANIE Z SYTUACJI FINANSOWEJ</t>
  </si>
  <si>
    <t>WYSZCZEGÓLNIENIE</t>
  </si>
  <si>
    <t>Aktywa trwałe</t>
  </si>
  <si>
    <t>Wartości niematerialne</t>
  </si>
  <si>
    <t>Wartość firmy jednostek zależnych</t>
  </si>
  <si>
    <t>Rzeczowe aktywa trwałe</t>
  </si>
  <si>
    <t>Prawo do użytkowania aktywów</t>
  </si>
  <si>
    <t>Aktywo kontraktowe</t>
  </si>
  <si>
    <t>Nieruchomości inwestycyjne</t>
  </si>
  <si>
    <t>Inwestycje w jednostkach współkontrolowanych konsolidowane metodą praw własności</t>
  </si>
  <si>
    <t>Pozostałe długoterminowe aktywa finansowe</t>
  </si>
  <si>
    <t xml:space="preserve"> - w jednostkach powiązanych</t>
  </si>
  <si>
    <t xml:space="preserve"> - w pozostałych jednostkach</t>
  </si>
  <si>
    <t>Udzielone pożyczki długoterminowe</t>
  </si>
  <si>
    <t>Należności długoterminowe</t>
  </si>
  <si>
    <t>Długoterminowe rozliczenia międzyokresowe</t>
  </si>
  <si>
    <t>Aktywa z tytułu odroczonego podatku dochodowego</t>
  </si>
  <si>
    <t>Aktywa obrotowe</t>
  </si>
  <si>
    <t>Zapasy</t>
  </si>
  <si>
    <t>Należności handlowe</t>
  </si>
  <si>
    <t>Należności z tytułu podatku dochodowego od osób prawnych</t>
  </si>
  <si>
    <t>Należności z tytułu innych podatków, ceł i ubezpieczeń społecznych</t>
  </si>
  <si>
    <t>Pozostałe należności krótkoterminowe</t>
  </si>
  <si>
    <t>Pozostałe krótkoterminowe aktywa finansowe</t>
  </si>
  <si>
    <t>Udzielone pożyczki krótkoterminowe</t>
  </si>
  <si>
    <t>Środki pieniężne i ich ekwiwalenty</t>
  </si>
  <si>
    <t>Środki pieniężne o ograniczonym sposobie dysponowania</t>
  </si>
  <si>
    <t>Krótkoterminowe rozliczenia międzyokresowe</t>
  </si>
  <si>
    <t>Aktywa trwałe zaklasyfikowane jako przeznaczone do sprzedaży</t>
  </si>
  <si>
    <t>AKTYWA RAZEM</t>
  </si>
  <si>
    <t>Kapitał własny</t>
  </si>
  <si>
    <t>Kapitał własny przypadający akcjonariuszom jednostki dominującej</t>
  </si>
  <si>
    <t>Kapitał podstawowy</t>
  </si>
  <si>
    <t>Pozostałe kapitały</t>
  </si>
  <si>
    <t>Kapitał z przeszacowania programu określonych świadczeń</t>
  </si>
  <si>
    <t>Ujęte bezpośrednio w kapitale kwoty dotyczące aktywów trwałych przeznaczonych do sprzedaży</t>
  </si>
  <si>
    <t>Niepodzielony wynik finansowy</t>
  </si>
  <si>
    <t xml:space="preserve"> - niepodzielony wynik z lat ubiegłych</t>
  </si>
  <si>
    <t xml:space="preserve"> - wynik bieżącego okresu</t>
  </si>
  <si>
    <t xml:space="preserve"> - odpisy z wyniku bieżącego roku</t>
  </si>
  <si>
    <t>Udziały niesprawujące kontroli</t>
  </si>
  <si>
    <t>Zobowiązania</t>
  </si>
  <si>
    <t>Zobowiązania i rezerwy długoterminowe</t>
  </si>
  <si>
    <t>Długoterminowe kredyty i pożyczki</t>
  </si>
  <si>
    <t>Pozostałe zobowiązania długoterminowe</t>
  </si>
  <si>
    <t xml:space="preserve"> - wobec jednostek powiązanych</t>
  </si>
  <si>
    <t xml:space="preserve"> - wobec pozostałych jednostek</t>
  </si>
  <si>
    <t>Zobowiązania kontraktowe</t>
  </si>
  <si>
    <t>Zobowiązania długoterminowe z tytułu prawa do użytkowania aktywów</t>
  </si>
  <si>
    <t>Rezerwa z tytułu odroczonego podatku dochodowego</t>
  </si>
  <si>
    <t>Długoterminowe zobowiązania z tytułu świadczeń pracowniczych</t>
  </si>
  <si>
    <t>Pozostałe rezerwy długoterminowe</t>
  </si>
  <si>
    <t>Zobowiązania i rezerwy krótkoterminowe</t>
  </si>
  <si>
    <t>Krótkoterminowe kredyty i pożyczki</t>
  </si>
  <si>
    <t>Zobowiązania handlowe</t>
  </si>
  <si>
    <t>Zobowiązania z tytułu podatku dochodowego od osób prawnych</t>
  </si>
  <si>
    <t>Zobowiązania z tytułu innych podatków, ceł i ubezpieczeń społecznych</t>
  </si>
  <si>
    <t>Pozostałe zobowiązania krótkoterminowe</t>
  </si>
  <si>
    <t>Zobowiązania krótkoterminowe z tytułu prawa do użytkowania aktywów</t>
  </si>
  <si>
    <t>Krótkoterminowe zobowiązania z tytułu świadczeń pracowniczych</t>
  </si>
  <si>
    <t>Pozostałe rezerwy krótkoterminowe</t>
  </si>
  <si>
    <t>Zobowiązania związane z aktywami trwałymi zaklasyfikowanymi jako przeznaczone do sprzedaży</t>
  </si>
  <si>
    <t>PASYWA RAZEM</t>
  </si>
  <si>
    <t>za okres</t>
  </si>
  <si>
    <t>30.06.2018</t>
  </si>
  <si>
    <t>30.06.2019</t>
  </si>
  <si>
    <t>30.06.2020</t>
  </si>
  <si>
    <t>RACHUNEK PRZEPŁYWÓW PIENIĘŻNYCH - METODA POŚREDNIA</t>
  </si>
  <si>
    <t>Przepływy środków pieniężnych z działalności operacyjnej</t>
  </si>
  <si>
    <t xml:space="preserve">Zysk przed opodatkowaniem </t>
  </si>
  <si>
    <t>Korekty</t>
  </si>
  <si>
    <t>Amortyzacja wartości niematerialnych</t>
  </si>
  <si>
    <t>Odpisy aktualizujące z tytułu utraty wartości firmy</t>
  </si>
  <si>
    <t>Amortyzacja rzeczowych aktywów trwałych</t>
  </si>
  <si>
    <t>Odpisy aktualizujące z tytułu utraty rzeczowych aktywów trwałych i wartości niematerialnych</t>
  </si>
  <si>
    <t>(Zysk) strata na sprzedaży rzeczowych aktywów trwałych i wartości niematerialnych</t>
  </si>
  <si>
    <t>(Zysk) strata na sprzedaży aktywów finansowych dostępnych do sprzedaży</t>
  </si>
  <si>
    <t>(Zyski) straty z wyceny nieruchomosci inwestycyjnych według wartości godziwej</t>
  </si>
  <si>
    <t>(Zyski) straty z tytułu zmiany wartości godziwej instrumentów pochodnych</t>
  </si>
  <si>
    <t>Koszty odsetek</t>
  </si>
  <si>
    <t>Udziały w (zyskach) stratach jednostek stowarzyszonych</t>
  </si>
  <si>
    <t>Przychody z tytułu odsetek</t>
  </si>
  <si>
    <t>Przychody z tytułu dywidend</t>
  </si>
  <si>
    <t>(Dodatnie) ujemne różnice kursowe</t>
  </si>
  <si>
    <t>(Zysk) strata ze zbycia akcji własnych</t>
  </si>
  <si>
    <t>Inne korekty</t>
  </si>
  <si>
    <t>Środki pieniężne z działalności operacyjnej przed uwzględnieniem zmian w kapitale obrotowym</t>
  </si>
  <si>
    <t>Zmiana stanu zapasów</t>
  </si>
  <si>
    <t>Zmiana stanu amortyzowanego aktywa kontraktowego</t>
  </si>
  <si>
    <t>Zmiana stanu należności</t>
  </si>
  <si>
    <t>Zmiana stanu zobowiązań</t>
  </si>
  <si>
    <t>Zmiana stanu rezerw</t>
  </si>
  <si>
    <t>Zmiana stanu środków pieniężnych o ograniczonym sposobie dysponowania</t>
  </si>
  <si>
    <t>Zmiana stanu rozliczeń międzyokresowych</t>
  </si>
  <si>
    <t>Środki pieniężne wygenerowane w toku działalności operacyjnej</t>
  </si>
  <si>
    <t>Zapłacone odsetki</t>
  </si>
  <si>
    <t>Zapłacony podatek dochodowy</t>
  </si>
  <si>
    <t>Środki pieniężne netto z działalności operacyjnej</t>
  </si>
  <si>
    <t>Przepływy środków pieniężnych z działalności inwestycyjnej</t>
  </si>
  <si>
    <t>Wydatki na nabycie wartości niematerialnych</t>
  </si>
  <si>
    <t>Wpływy ze sprzedaży wartości niematerialnych</t>
  </si>
  <si>
    <t>Wpływy ze sprzedaży rzeczowych aktywów trwałych</t>
  </si>
  <si>
    <t>Wydatki na nabycie nieruchomości inwestycyjnych</t>
  </si>
  <si>
    <t>Wpływy ze sprzedaży nieruchomości inwestycyjnych</t>
  </si>
  <si>
    <t>Wydatki na nabycie aktywów finansowych dostępnych do sprzedaży</t>
  </si>
  <si>
    <t>Wpływy ze sprzedaży aktywów finansowych dostępnych do sprzedaży</t>
  </si>
  <si>
    <t>Wydatki na nabycie aktywów finansowych przeznaczonych do obrotu</t>
  </si>
  <si>
    <t>Wpływy ze sprzedaży aktywów finansowych przeznaczonych do obrotu</t>
  </si>
  <si>
    <t>Inwestycje w jednostki zależne</t>
  </si>
  <si>
    <t>Wpływy ze sprzedaży jednostek zależnych</t>
  </si>
  <si>
    <t>Pożyczki udzielone</t>
  </si>
  <si>
    <t>Otrzymane spłaty pożyczek udzielonych</t>
  </si>
  <si>
    <t>Otrzymane odsetki</t>
  </si>
  <si>
    <t>Otrzymane dywidendy</t>
  </si>
  <si>
    <t>Inne wpływy (wydatki)</t>
  </si>
  <si>
    <t>Środki pieniężne netto wykorzystane z działalności inwestycyjnej</t>
  </si>
  <si>
    <t>Przepływy środków pieniężnych z działalności finansowej</t>
  </si>
  <si>
    <t>Wpływy netto z tytułu emisji akcji</t>
  </si>
  <si>
    <t>Nabycie akcji własnych</t>
  </si>
  <si>
    <t>Wpływy z tytułu zbycia akcji własnych</t>
  </si>
  <si>
    <t>Wpływy z tytułu emisji dłużnych papierów wartościowych</t>
  </si>
  <si>
    <t>Wykup dłużnych papierów wartościowych</t>
  </si>
  <si>
    <t>Wpływy z tytułu zaciągnięcia kredytów i pożyczek</t>
  </si>
  <si>
    <t>Spłaty kredytów i pożyczek</t>
  </si>
  <si>
    <t>Odsetki</t>
  </si>
  <si>
    <t>Dywidendy wypłacone</t>
  </si>
  <si>
    <t>Spłata zobowiązań z tytułu leasingu finansowego</t>
  </si>
  <si>
    <t>Środki pieniężne netto z działalności finansowej</t>
  </si>
  <si>
    <t>Zwiększenie (zmniejszenie) netto stanu środków pieniężnych i ekwiwalentów środków pieniężnych</t>
  </si>
  <si>
    <t>Zmiana stanu środków pieniężnych i ich ekwiwalentów z tytułu różnic kursowych</t>
  </si>
  <si>
    <t>Środki pieniężne i ich ekwiwalenty na początek okresu</t>
  </si>
  <si>
    <t>Różnice kursowe</t>
  </si>
  <si>
    <t>Środki pieniężne i ich ekwiwalenty na koniec okresu</t>
  </si>
  <si>
    <t>Wpływy z otrzymanych dotacji rządowych</t>
  </si>
  <si>
    <t>NOTA NR 1</t>
  </si>
  <si>
    <t>TABELA NR 1.1</t>
  </si>
  <si>
    <t>Energia elektryczna</t>
  </si>
  <si>
    <t>Gaz</t>
  </si>
  <si>
    <t>Woda i Ciepło</t>
  </si>
  <si>
    <t>Niealokowane</t>
  </si>
  <si>
    <t>Razem</t>
  </si>
  <si>
    <t>DZIAŁALNOŚĆ ZANIECHANA</t>
  </si>
  <si>
    <t>OGÓŁEM</t>
  </si>
  <si>
    <t>Wyniki finansowe segmentów operacyjnych za okres od 01.01.2019 do 31.03.2019</t>
  </si>
  <si>
    <t>Przychody ze sprzedaży</t>
  </si>
  <si>
    <t>Zysk brutto ze sprzedaży</t>
  </si>
  <si>
    <t>Zysk ze sprzedaży</t>
  </si>
  <si>
    <t>Pozostałe przychody (koszty) operacyjne</t>
  </si>
  <si>
    <t>Udział w zyskach spółek stowarzyszonych</t>
  </si>
  <si>
    <t>Zysk z działalności operacyjnej</t>
  </si>
  <si>
    <t>Wyniki finansowe segmentów operacyjnych za okres od 01.01.2018 do 31.03.2018</t>
  </si>
  <si>
    <t>Wyniki finansowe segmentów operacyjnych za okres od 01.01.2019 do 30.06.2019</t>
  </si>
  <si>
    <t>Wyniki finansowe segmentów operacyjnych za okres od 01.04.2019 do 30.06.2019</t>
  </si>
  <si>
    <t>Wyniki finansowe segmentów operacyjnych za okres od 01.01.2018 do 30.06.2018</t>
  </si>
  <si>
    <t>Wyniki finansowe segmentów operacyjnych za okres od 01.04.2018 do 30.06.2018</t>
  </si>
  <si>
    <t>Wyniki finansowe segmentów operacyjnych za okres od 01.01.2019 do 30.09.2019</t>
  </si>
  <si>
    <t>Wyniki finansowe segmentów operacyjnych za okres od 01.07.2019 do 30.09.2019</t>
  </si>
  <si>
    <t>Wyniki finansowe segmentów operacyjnych za okres od 01.01.2018 do 30.09.2018</t>
  </si>
  <si>
    <t>Wyniki finansowe segmentów operacyjnych za okres od 01.07.2018 do 30.09.2018</t>
  </si>
  <si>
    <t>Wyniki finansowe segmentów operacyjnych za okres od 01.01.2019 do 31.12.2019</t>
  </si>
  <si>
    <t>Wyniki finansowe segmentów operacyjnych za okres od 01.10.2019 do 31.12.2019</t>
  </si>
  <si>
    <t>Wyniki finansowe segmentów operacyjnych za okres od 01.01.2018 do 31.12.2018</t>
  </si>
  <si>
    <t>Wyniki finansowe segmentów operacyjnych za okres od 01.10.2018 do 31.12.2018</t>
  </si>
  <si>
    <t>Wyniki finansowe segmentów operacyjnych za okres od 01.01.2020 do 31.03.2020</t>
  </si>
  <si>
    <t>Wyniki finansowe segmentów operacyjnych za okres od 01.01.2020 do 30.06.2020</t>
  </si>
  <si>
    <t>Wyniki finansowe segmentów operacyjnych za okres od 01.04.2020 do 30.06.2020</t>
  </si>
  <si>
    <t>Wyniki finansowe segmentów operacyjnych za okres od 01.01.2020 do 30.09.2020</t>
  </si>
  <si>
    <t>Wyniki finansowe segmentów operacyjnych za okres od 01.07.2020 do 30.09.2020</t>
  </si>
  <si>
    <t>Wyniki finansowe segmentów operacyjnych za okres od 01.01.2020 do 31.12.2020</t>
  </si>
  <si>
    <t>Wyniki finansowe segmentów operacyjnych za okres od 01.10.2020 do 31.12.2020</t>
  </si>
  <si>
    <t>EBITDA %</t>
  </si>
  <si>
    <t>oddzielnie dla każdego segmentu</t>
  </si>
  <si>
    <t>WYNIKI FINANSOWE WEDŁUG SEGMNTÓW OPERACYJNYCH 2018</t>
  </si>
  <si>
    <t>WYNIKI FINANSOWE WEDŁUG SEGMNTÓW OPERACYJNYCH 2019</t>
  </si>
  <si>
    <t>WYNIKI FINANSOWE WEDŁUG SEGMNTÓW OPERACYJNYCH 2020</t>
  </si>
  <si>
    <t>1Q2018</t>
  </si>
  <si>
    <t>2Q2018</t>
  </si>
  <si>
    <t>3Q2018</t>
  </si>
  <si>
    <t>4Q2018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</si>
  <si>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</si>
  <si>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</si>
  <si>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</si>
  <si>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</si>
  <si>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</si>
  <si>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</si>
  <si>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</si>
  <si>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</si>
  <si>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1-2Q2018</t>
  </si>
  <si>
    <t>1-3Q2018</t>
  </si>
  <si>
    <t>1-4Q2018</t>
  </si>
  <si>
    <t>1-2Q2019</t>
  </si>
  <si>
    <t>1-3Q2019</t>
  </si>
  <si>
    <t>1-4Q2019</t>
  </si>
  <si>
    <t>1-2Q2020</t>
  </si>
  <si>
    <t>1-3Q2020</t>
  </si>
  <si>
    <t>1-4Q2020</t>
  </si>
  <si>
    <t>Zysk/(strata) na jedną akcję (w złotych)</t>
  </si>
  <si>
    <t xml:space="preserve">dla 2018 EBITDA% liczona do przychodów z działalności kontynuowanej </t>
  </si>
  <si>
    <t>WYNIKI FINANSOWE SEGMENTU EE</t>
  </si>
  <si>
    <t>WYNIKI FINANSOWE SEGMENTU GAZ</t>
  </si>
  <si>
    <t>WYNIKI FINANSOWE SEGMENTU WODA I CIEPŁO</t>
  </si>
  <si>
    <t>Liczniki EE</t>
  </si>
  <si>
    <t>Aparatura Łączeniowa</t>
  </si>
  <si>
    <t>Aparatura Górnicza</t>
  </si>
  <si>
    <t>RAZEM SEGMENT EE</t>
  </si>
  <si>
    <t>Zysk/(strata) na jedną akcję (w złotych) raportowany</t>
  </si>
  <si>
    <t>PRZYCHODY ZE SPRZEDAŻY WG LINII BIZNESOWYCH</t>
  </si>
  <si>
    <t>SPRAWOZDANIE Z CAŁKOWITYCH DOCHODÓW - WARIANT KALKULACYJNY - DANE KWARTALNE</t>
  </si>
  <si>
    <t>SPRAWOZDANIE Z CAŁKOWITYCH DOCHODÓW - WARIANT KALKULACYJNY - DANE ROCZNE</t>
  </si>
  <si>
    <t>na koniec okresu</t>
  </si>
  <si>
    <t>liczba akcji z raportów okresowych (narastająco)</t>
  </si>
  <si>
    <t>liczba akcji kwartalnie</t>
  </si>
  <si>
    <t>Przychody ze sprzedaży produktów, towarów i materiałów</t>
  </si>
  <si>
    <t>Zysk (strata) brutto</t>
  </si>
  <si>
    <t>Zysk (strata) netto przypadająca akcjonariuszom jednostki dominującej Grupy</t>
  </si>
  <si>
    <t>Zysk (strata) netto przypadająca udziałom niesprawującym kontroli</t>
  </si>
  <si>
    <t>Średnia ważona ilość akcji</t>
  </si>
  <si>
    <t>Przepływy pieniężne z działalności operacyjnej</t>
  </si>
  <si>
    <t>Przepływy pieniężne z działalności inwestycyjnej</t>
  </si>
  <si>
    <t>Przepływy pieniężne z działalności finansowej</t>
  </si>
  <si>
    <t>Przepływy pieniężne razem</t>
  </si>
  <si>
    <t>Aktywa razem</t>
  </si>
  <si>
    <t>Kapitał własny z udziałami niesprawującymi kontroli</t>
  </si>
  <si>
    <t>Kapitał akcyjny</t>
  </si>
  <si>
    <t>Wartość księgowa netto na jedną akcję zwykłą [zł/ akcję]</t>
  </si>
  <si>
    <t>GŁÓWNE DANE FINANSOWE - DANE ROCZNE</t>
  </si>
  <si>
    <t>Zysk (strata) netto na jedną akcję zwykłą (w złotych)</t>
  </si>
  <si>
    <t>*) Zaprezentowane dane finansowe będą aktualizowane każdorazowo po publikacji aktualnego raportu okresowego, w szczególności dane z raportu rocznego będą zastępowały wcześniejsze dane z raportu za 4Q, a w przypadku ewentualnych przekształceń wcześniej opublikowanych danych z przeszłych okresów, nowo publikowane dane (przekształcone) będą zastępowały dane pierwotnie opublikowane (nieprzekształcone)</t>
  </si>
  <si>
    <t>2. Sprawozdanie z całkowitych dochodów</t>
  </si>
  <si>
    <t>3. Sprawozdanie z sytuacji finansowej</t>
  </si>
  <si>
    <t>4. Rachunek przepływów pieniężnych</t>
  </si>
  <si>
    <t xml:space="preserve">5. Wyniki finansowe wg segmentów operacyjnych </t>
  </si>
  <si>
    <t>5.1 Energia Elektryczna</t>
  </si>
  <si>
    <t>5.2 Gaz</t>
  </si>
  <si>
    <t>5.3 Woda i Ciepło</t>
  </si>
  <si>
    <t>1. Podsumowanie</t>
  </si>
  <si>
    <t>`</t>
  </si>
  <si>
    <t>1Q2021</t>
  </si>
  <si>
    <t>31.03.2021</t>
  </si>
  <si>
    <t>2Q2021</t>
  </si>
  <si>
    <t>30.06.2021</t>
  </si>
  <si>
    <t>1-2Q2021</t>
  </si>
  <si>
    <t>Zwrot podatku</t>
  </si>
  <si>
    <t>3Q2021</t>
  </si>
  <si>
    <t>30.09.2021</t>
  </si>
  <si>
    <t>Niezarejestrowane obniżenie kapitału podstawowego</t>
  </si>
  <si>
    <t>Akcje własne</t>
  </si>
  <si>
    <t>1-3Q2021</t>
  </si>
  <si>
    <t>4Q2021</t>
  </si>
  <si>
    <t>31.12.2021</t>
  </si>
  <si>
    <t>1-4Q2021</t>
  </si>
  <si>
    <t>1Q2022</t>
  </si>
  <si>
    <t>31.03.2022</t>
  </si>
  <si>
    <t>Automatyka + ICT</t>
  </si>
  <si>
    <t>2Q2022</t>
  </si>
  <si>
    <t>30.06.2022</t>
  </si>
  <si>
    <t>1-2Q2022</t>
  </si>
  <si>
    <t>3Q2022</t>
  </si>
  <si>
    <t>30.09.2022</t>
  </si>
  <si>
    <t>1-3Q2022</t>
  </si>
  <si>
    <t>4Q2022</t>
  </si>
  <si>
    <t>31.12.2022</t>
  </si>
  <si>
    <t>1-4Q2022</t>
  </si>
  <si>
    <t>Odpisy aktualizujące z tytułu utraty wartości prac rozwojowych</t>
  </si>
  <si>
    <t>Wydatki na nabycie rzeczowych aktywów trwałych i aktywów leasingowych</t>
  </si>
  <si>
    <t>1Q2023</t>
  </si>
  <si>
    <t>31.03.2023</t>
  </si>
  <si>
    <t>2Q2023</t>
  </si>
  <si>
    <t>30.06.2023</t>
  </si>
  <si>
    <t>1-2Q2023</t>
  </si>
  <si>
    <t>3Q2023</t>
  </si>
  <si>
    <t>30.09.2023</t>
  </si>
  <si>
    <t>1-3Q2023</t>
  </si>
  <si>
    <t>4Q2023</t>
  </si>
  <si>
    <t>1-4Q2023</t>
  </si>
  <si>
    <t>31.12.2023</t>
  </si>
  <si>
    <t>1Q2024</t>
  </si>
  <si>
    <t>31.03.2024</t>
  </si>
  <si>
    <t>2Q2024</t>
  </si>
  <si>
    <t>30.06.2024</t>
  </si>
  <si>
    <t>Przychody przyszłych okresów</t>
  </si>
  <si>
    <t>1-2Q2024</t>
  </si>
  <si>
    <t>Zmiana stanu przychodów przyszłych okresów</t>
  </si>
  <si>
    <t>3Q2024</t>
  </si>
  <si>
    <t>Objęcie (utrata) kontroli nad jednostką zależną (ujemna wartość firmy)</t>
  </si>
  <si>
    <t>30.09.2024</t>
  </si>
  <si>
    <t>1-3Q2024</t>
  </si>
  <si>
    <t>4Q2024</t>
  </si>
  <si>
    <t>Zmiana stanu odpisów aktualizujących należności</t>
  </si>
  <si>
    <t>31.12.2024</t>
  </si>
  <si>
    <t>Różnice kursowe z konsolidacji</t>
  </si>
  <si>
    <t>1-4Q2024</t>
  </si>
  <si>
    <t>Zmiana stanu odpisów aktualizujących należności i pożyczki (MSSF 9)</t>
  </si>
  <si>
    <t>Amortyzacja aktywów z tytułu prawa do użytkowania</t>
  </si>
  <si>
    <t>Zmiana stanu pozostałych aktywów</t>
  </si>
  <si>
    <t>Zmiana stanu zobowiązań kontraktowych</t>
  </si>
  <si>
    <t>Środki pieniężne na dzień utraty kontroli nad jednostką zależną</t>
  </si>
  <si>
    <t>1Q2025</t>
  </si>
  <si>
    <t>31.03.2025</t>
  </si>
  <si>
    <t>2Q2025</t>
  </si>
  <si>
    <t>30.06.2025</t>
  </si>
  <si>
    <t xml:space="preserve">Kapitał z wyceny transakcji zabezpieczających </t>
  </si>
  <si>
    <t>1-2Q2025</t>
  </si>
  <si>
    <t>3Q2025</t>
  </si>
  <si>
    <t>30.09.2025</t>
  </si>
  <si>
    <t>1-3Q2025</t>
  </si>
  <si>
    <t>4Q2025</t>
  </si>
  <si>
    <t>31.12.2025</t>
  </si>
  <si>
    <t>1-4Q2025</t>
  </si>
  <si>
    <t>1Q2026</t>
  </si>
  <si>
    <t>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</si>
</sst>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"/>
    <numFmt numFmtId="165" formatCode="#,##0.00_);\(#,##0.00\);\-______"/>
    <numFmt numFmtId="166" formatCode="#,##0_);\(#,##0\);\-______"/>
    <numFmt numFmtId="167" formatCode="#,##0.00_ ;[Red]\-#,##0.00\ "/>
    <numFmt numFmtId="168" formatCode="#,##0_ ;\-#,##0\ "/>
    <numFmt numFmtId="169" formatCode="0.0%"/>
    <numFmt numFmtId="170" formatCode="#,##0.0000_ ;[Red]\-#,##0.0000\ "/>
  </numFmts>
  <fonts count="26" x14ac:knownFonts="1">
    <font>
      <sz val="10"/>
      <name val="Arial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7"/>
      <color indexed="9"/>
      <name val="Arial"/>
      <family val="2"/>
      <charset val="238"/>
    </font>
    <font>
      <sz val="9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  <charset val="238"/>
    </font>
    <font>
      <sz val="7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</font>
    <font>
      <i/>
      <sz val="7"/>
      <color rgb="FFFF0000"/>
      <name val="Arial"/>
      <family val="2"/>
      <charset val="238"/>
    </font>
    <font>
      <sz val="12"/>
      <color theme="4" tint="-0.499984740745262"/>
      <name val="Arial"/>
      <family val="2"/>
      <charset val="238"/>
    </font>
    <font>
      <sz val="12"/>
      <name val="Arial"/>
      <family val="2"/>
      <charset val="238"/>
    </font>
    <font>
      <sz val="9"/>
      <color rgb="FF333333"/>
      <name val="Times New Roman"/>
      <family val="1"/>
      <charset val="238"/>
    </font>
    <font>
      <i/>
      <sz val="8"/>
      <color theme="4" tint="-0.499984740745262"/>
      <name val="Arial"/>
      <family val="2"/>
      <charset val="238"/>
    </font>
    <font>
      <sz val="8"/>
      <name val="Arial"/>
      <family val="2"/>
      <charset val="238"/>
    </font>
    <font>
      <sz val="7"/>
      <color theme="0"/>
      <name val="Arial"/>
      <family val="2"/>
      <charset val="238"/>
    </font>
    <font>
      <sz val="7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256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 applyProtection="1">
      <alignment vertical="center"/>
      <protection locked="0"/>
    </xf>
    <xf numFmtId="164" fontId="3" fillId="0" borderId="8" xfId="0" applyNumberFormat="1" applyFont="1" applyBorder="1" applyAlignment="1" applyProtection="1">
      <alignment horizontal="center" vertical="center"/>
      <protection hidden="1"/>
    </xf>
    <xf numFmtId="165" fontId="1" fillId="0" borderId="4" xfId="0" applyNumberFormat="1" applyFont="1" applyBorder="1" applyAlignment="1" applyProtection="1">
      <alignment horizontal="left" vertical="center"/>
      <protection locked="0"/>
    </xf>
    <xf numFmtId="165" fontId="1" fillId="0" borderId="0" xfId="0" applyNumberFormat="1" applyFont="1" applyAlignment="1" applyProtection="1">
      <alignment vertical="center"/>
      <protection locked="0"/>
    </xf>
    <xf numFmtId="166" fontId="3" fillId="0" borderId="12" xfId="0" applyNumberFormat="1" applyFont="1" applyBorder="1" applyAlignment="1" applyProtection="1">
      <alignment vertical="center"/>
      <protection locked="0"/>
    </xf>
    <xf numFmtId="166" fontId="1" fillId="0" borderId="0" xfId="0" applyNumberFormat="1" applyFont="1" applyAlignment="1" applyProtection="1">
      <alignment vertical="center"/>
      <protection locked="0"/>
    </xf>
    <xf numFmtId="166" fontId="5" fillId="0" borderId="3" xfId="0" applyNumberFormat="1" applyFont="1" applyBorder="1" applyAlignment="1" applyProtection="1">
      <alignment vertical="center"/>
      <protection locked="0"/>
    </xf>
    <xf numFmtId="166" fontId="5" fillId="0" borderId="12" xfId="0" applyNumberFormat="1" applyFont="1" applyBorder="1" applyAlignment="1" applyProtection="1">
      <alignment vertical="center"/>
      <protection locked="0"/>
    </xf>
    <xf numFmtId="164" fontId="1" fillId="0" borderId="3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 wrapText="1"/>
    </xf>
    <xf numFmtId="166" fontId="1" fillId="0" borderId="3" xfId="0" applyNumberFormat="1" applyFont="1" applyBorder="1" applyAlignment="1" applyProtection="1">
      <alignment vertical="center"/>
      <protection locked="0"/>
    </xf>
    <xf numFmtId="166" fontId="1" fillId="0" borderId="12" xfId="0" applyNumberFormat="1" applyFont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164" fontId="3" fillId="0" borderId="4" xfId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166" fontId="4" fillId="0" borderId="3" xfId="0" applyNumberFormat="1" applyFont="1" applyBorder="1" applyAlignment="1" applyProtection="1">
      <alignment vertical="center"/>
      <protection locked="0"/>
    </xf>
    <xf numFmtId="164" fontId="3" fillId="0" borderId="5" xfId="1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 applyProtection="1">
      <alignment horizontal="left" vertical="center"/>
      <protection locked="0"/>
    </xf>
    <xf numFmtId="166" fontId="4" fillId="0" borderId="12" xfId="0" applyNumberFormat="1" applyFont="1" applyBorder="1" applyAlignment="1" applyProtection="1">
      <alignment vertical="center"/>
      <protection locked="0"/>
    </xf>
    <xf numFmtId="165" fontId="1" fillId="0" borderId="3" xfId="0" applyNumberFormat="1" applyFont="1" applyBorder="1" applyAlignment="1" applyProtection="1">
      <alignment horizontal="left" vertical="center"/>
      <protection locked="0"/>
    </xf>
    <xf numFmtId="0" fontId="9" fillId="0" borderId="0" xfId="2" applyFont="1" applyAlignment="1">
      <alignment vertical="center"/>
    </xf>
    <xf numFmtId="166" fontId="10" fillId="0" borderId="12" xfId="2" applyNumberFormat="1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5" xfId="2" applyFont="1" applyBorder="1" applyAlignment="1">
      <alignment vertical="center" wrapText="1"/>
    </xf>
    <xf numFmtId="166" fontId="9" fillId="0" borderId="12" xfId="2" applyNumberFormat="1" applyFont="1" applyBorder="1" applyAlignment="1">
      <alignment vertical="center"/>
    </xf>
    <xf numFmtId="0" fontId="11" fillId="0" borderId="3" xfId="2" applyFont="1" applyBorder="1" applyAlignment="1">
      <alignment vertical="center"/>
    </xf>
    <xf numFmtId="0" fontId="11" fillId="0" borderId="5" xfId="2" applyFont="1" applyBorder="1" applyAlignment="1">
      <alignment vertical="center" wrapText="1"/>
    </xf>
    <xf numFmtId="166" fontId="11" fillId="0" borderId="12" xfId="2" applyNumberFormat="1" applyFont="1" applyBorder="1" applyAlignment="1" applyProtection="1">
      <alignment vertical="center"/>
      <protection locked="0"/>
    </xf>
    <xf numFmtId="166" fontId="9" fillId="0" borderId="12" xfId="2" applyNumberFormat="1" applyFont="1" applyBorder="1" applyAlignment="1" applyProtection="1">
      <alignment vertical="center"/>
      <protection locked="0"/>
    </xf>
    <xf numFmtId="0" fontId="3" fillId="0" borderId="0" xfId="2" applyFont="1" applyAlignment="1">
      <alignment vertical="center"/>
    </xf>
    <xf numFmtId="166" fontId="10" fillId="2" borderId="12" xfId="2" applyNumberFormat="1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5" xfId="2" applyFont="1" applyFill="1" applyBorder="1" applyAlignment="1">
      <alignment vertical="center" wrapText="1"/>
    </xf>
    <xf numFmtId="166" fontId="3" fillId="2" borderId="12" xfId="2" applyNumberFormat="1" applyFont="1" applyFill="1" applyBorder="1" applyAlignment="1">
      <alignment vertical="center"/>
    </xf>
    <xf numFmtId="166" fontId="10" fillId="2" borderId="13" xfId="2" applyNumberFormat="1" applyFont="1" applyFill="1" applyBorder="1" applyAlignment="1">
      <alignment vertical="center"/>
    </xf>
    <xf numFmtId="166" fontId="3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Alignment="1" applyProtection="1">
      <alignment vertical="center" wrapText="1"/>
      <protection locked="0"/>
    </xf>
    <xf numFmtId="164" fontId="1" fillId="0" borderId="0" xfId="2" applyNumberFormat="1" applyFont="1" applyAlignment="1" applyProtection="1">
      <alignment vertical="center"/>
      <protection locked="0"/>
    </xf>
    <xf numFmtId="164" fontId="1" fillId="0" borderId="0" xfId="2" applyNumberFormat="1" applyFont="1" applyAlignment="1">
      <alignment vertical="center"/>
    </xf>
    <xf numFmtId="164" fontId="12" fillId="0" borderId="0" xfId="2" applyNumberFormat="1" applyFont="1" applyAlignment="1">
      <alignment horizontal="left" vertical="center"/>
    </xf>
    <xf numFmtId="166" fontId="3" fillId="0" borderId="12" xfId="2" applyNumberFormat="1" applyFont="1" applyBorder="1" applyAlignment="1" applyProtection="1">
      <alignment vertical="center"/>
      <protection locked="0"/>
    </xf>
    <xf numFmtId="164" fontId="3" fillId="0" borderId="0" xfId="2" applyNumberFormat="1" applyFont="1" applyAlignment="1" applyProtection="1">
      <alignment vertical="center"/>
      <protection locked="0"/>
    </xf>
    <xf numFmtId="166" fontId="1" fillId="0" borderId="3" xfId="2" applyNumberFormat="1" applyFont="1" applyBorder="1" applyAlignment="1">
      <alignment vertical="center" wrapText="1"/>
    </xf>
    <xf numFmtId="166" fontId="1" fillId="0" borderId="12" xfId="2" applyNumberFormat="1" applyFont="1" applyBorder="1" applyAlignment="1" applyProtection="1">
      <alignment vertical="center"/>
      <protection locked="0"/>
    </xf>
    <xf numFmtId="164" fontId="1" fillId="0" borderId="12" xfId="2" applyNumberFormat="1" applyFont="1" applyBorder="1" applyAlignment="1" applyProtection="1">
      <alignment vertical="center"/>
      <protection locked="0"/>
    </xf>
    <xf numFmtId="164" fontId="1" fillId="0" borderId="0" xfId="2" applyNumberFormat="1" applyFont="1" applyAlignment="1">
      <alignment vertical="center" wrapText="1"/>
    </xf>
    <xf numFmtId="0" fontId="1" fillId="0" borderId="0" xfId="2" applyFont="1" applyAlignment="1" applyProtection="1">
      <alignment vertical="center"/>
      <protection hidden="1"/>
    </xf>
    <xf numFmtId="0" fontId="1" fillId="0" borderId="0" xfId="2" applyFont="1" applyAlignment="1" applyProtection="1">
      <alignment vertical="center" wrapText="1"/>
      <protection hidden="1"/>
    </xf>
    <xf numFmtId="165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 wrapText="1"/>
    </xf>
    <xf numFmtId="168" fontId="1" fillId="0" borderId="0" xfId="2" applyNumberFormat="1" applyFont="1" applyAlignment="1" applyProtection="1">
      <alignment vertical="center"/>
      <protection locked="0"/>
    </xf>
    <xf numFmtId="164" fontId="4" fillId="0" borderId="3" xfId="2" applyNumberFormat="1" applyFont="1" applyBorder="1" applyAlignment="1">
      <alignment horizontal="left" vertical="center"/>
    </xf>
    <xf numFmtId="164" fontId="4" fillId="0" borderId="4" xfId="2" applyNumberFormat="1" applyFont="1" applyBorder="1" applyAlignment="1">
      <alignment horizontal="left" vertical="center"/>
    </xf>
    <xf numFmtId="164" fontId="4" fillId="0" borderId="5" xfId="2" applyNumberFormat="1" applyFont="1" applyBorder="1" applyAlignment="1">
      <alignment horizontal="left" vertical="center"/>
    </xf>
    <xf numFmtId="166" fontId="4" fillId="0" borderId="3" xfId="2" applyNumberFormat="1" applyFont="1" applyBorder="1" applyAlignment="1">
      <alignment horizontal="left" vertical="center"/>
    </xf>
    <xf numFmtId="166" fontId="4" fillId="0" borderId="4" xfId="2" applyNumberFormat="1" applyFont="1" applyBorder="1" applyAlignment="1">
      <alignment horizontal="left" vertical="center"/>
    </xf>
    <xf numFmtId="166" fontId="4" fillId="0" borderId="5" xfId="2" applyNumberFormat="1" applyFont="1" applyBorder="1" applyAlignment="1">
      <alignment horizontal="left" vertical="center"/>
    </xf>
    <xf numFmtId="166" fontId="1" fillId="0" borderId="4" xfId="2" applyNumberFormat="1" applyFont="1" applyBorder="1" applyAlignment="1">
      <alignment vertical="center" wrapText="1"/>
    </xf>
    <xf numFmtId="166" fontId="3" fillId="2" borderId="12" xfId="2" applyNumberFormat="1" applyFont="1" applyFill="1" applyBorder="1" applyAlignment="1" applyProtection="1">
      <alignment vertical="center"/>
      <protection locked="0"/>
    </xf>
    <xf numFmtId="166" fontId="1" fillId="2" borderId="3" xfId="2" applyNumberFormat="1" applyFont="1" applyFill="1" applyBorder="1" applyAlignment="1">
      <alignment vertical="center" wrapText="1"/>
    </xf>
    <xf numFmtId="166" fontId="1" fillId="2" borderId="4" xfId="2" applyNumberFormat="1" applyFont="1" applyFill="1" applyBorder="1" applyAlignment="1">
      <alignment vertical="center" wrapText="1"/>
    </xf>
    <xf numFmtId="166" fontId="1" fillId="2" borderId="12" xfId="2" applyNumberFormat="1" applyFont="1" applyFill="1" applyBorder="1" applyAlignment="1" applyProtection="1">
      <alignment vertical="center"/>
      <protection locked="0"/>
    </xf>
    <xf numFmtId="164" fontId="12" fillId="0" borderId="0" xfId="2" applyNumberFormat="1" applyFont="1" applyAlignment="1">
      <alignment horizontal="left" vertical="center" wrapText="1"/>
    </xf>
    <xf numFmtId="0" fontId="4" fillId="0" borderId="0" xfId="2" applyFont="1" applyAlignment="1" applyProtection="1">
      <alignment horizontal="left" vertical="center"/>
      <protection hidden="1"/>
    </xf>
    <xf numFmtId="0" fontId="4" fillId="0" borderId="5" xfId="2" applyFont="1" applyBorder="1" applyAlignment="1" applyProtection="1">
      <alignment horizontal="left" vertical="center"/>
      <protection hidden="1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166" fontId="1" fillId="0" borderId="0" xfId="2" applyNumberFormat="1" applyFont="1" applyAlignment="1">
      <alignment vertical="center"/>
    </xf>
    <xf numFmtId="166" fontId="1" fillId="0" borderId="0" xfId="2" applyNumberFormat="1" applyFont="1" applyAlignment="1">
      <alignment vertical="center" wrapText="1"/>
    </xf>
    <xf numFmtId="164" fontId="12" fillId="0" borderId="7" xfId="2" applyNumberFormat="1" applyFont="1" applyBorder="1" applyAlignment="1">
      <alignment horizontal="left" vertical="center"/>
    </xf>
    <xf numFmtId="0" fontId="4" fillId="0" borderId="7" xfId="2" applyFont="1" applyBorder="1" applyAlignment="1" applyProtection="1">
      <alignment horizontal="left" vertical="center"/>
      <protection hidden="1"/>
    </xf>
    <xf numFmtId="0" fontId="3" fillId="0" borderId="0" xfId="2" applyFont="1" applyAlignment="1">
      <alignment horizontal="left" vertical="center"/>
    </xf>
    <xf numFmtId="166" fontId="3" fillId="0" borderId="0" xfId="2" applyNumberFormat="1" applyFont="1" applyAlignment="1" applyProtection="1">
      <alignment vertical="center"/>
      <protection locked="0"/>
    </xf>
    <xf numFmtId="166" fontId="3" fillId="0" borderId="7" xfId="2" applyNumberFormat="1" applyFont="1" applyBorder="1" applyAlignment="1" applyProtection="1">
      <alignment vertical="center"/>
      <protection locked="0"/>
    </xf>
    <xf numFmtId="166" fontId="1" fillId="0" borderId="12" xfId="5" applyNumberFormat="1" applyFont="1" applyBorder="1" applyAlignment="1" applyProtection="1">
      <alignment vertical="center"/>
      <protection locked="0"/>
    </xf>
    <xf numFmtId="166" fontId="3" fillId="0" borderId="12" xfId="5" applyNumberFormat="1" applyFont="1" applyBorder="1" applyAlignment="1" applyProtection="1">
      <alignment vertical="center"/>
      <protection locked="0"/>
    </xf>
    <xf numFmtId="164" fontId="12" fillId="0" borderId="15" xfId="2" applyNumberFormat="1" applyFont="1" applyBorder="1" applyAlignment="1">
      <alignment horizontal="left" vertical="center"/>
    </xf>
    <xf numFmtId="164" fontId="1" fillId="3" borderId="0" xfId="2" applyNumberFormat="1" applyFont="1" applyFill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hidden="1"/>
    </xf>
    <xf numFmtId="0" fontId="1" fillId="0" borderId="3" xfId="2" applyFont="1" applyBorder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left" indent="1"/>
    </xf>
    <xf numFmtId="164" fontId="15" fillId="0" borderId="0" xfId="0" applyNumberFormat="1" applyFont="1" applyAlignment="1">
      <alignment horizontal="left" vertical="center"/>
    </xf>
    <xf numFmtId="164" fontId="15" fillId="0" borderId="0" xfId="0" applyNumberFormat="1" applyFont="1" applyAlignment="1">
      <alignment horizontal="left" vertical="center" wrapText="1"/>
    </xf>
    <xf numFmtId="164" fontId="15" fillId="0" borderId="0" xfId="0" applyNumberFormat="1" applyFont="1" applyAlignment="1">
      <alignment vertical="center"/>
    </xf>
    <xf numFmtId="164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164" fontId="17" fillId="0" borderId="0" xfId="0" applyNumberFormat="1" applyFont="1" applyAlignment="1">
      <alignment horizontal="left" vertical="center" wrapText="1"/>
    </xf>
    <xf numFmtId="164" fontId="15" fillId="0" borderId="0" xfId="2" applyNumberFormat="1" applyFont="1" applyAlignment="1">
      <alignment horizontal="left" vertical="center"/>
    </xf>
    <xf numFmtId="164" fontId="16" fillId="0" borderId="0" xfId="2" applyNumberFormat="1" applyFont="1" applyAlignment="1">
      <alignment vertical="center"/>
    </xf>
    <xf numFmtId="169" fontId="5" fillId="0" borderId="3" xfId="0" applyNumberFormat="1" applyFont="1" applyBorder="1" applyAlignment="1" applyProtection="1">
      <alignment vertical="center"/>
      <protection locked="0"/>
    </xf>
    <xf numFmtId="169" fontId="1" fillId="0" borderId="12" xfId="0" applyNumberFormat="1" applyFont="1" applyBorder="1" applyAlignment="1" applyProtection="1">
      <alignment vertical="center"/>
      <protection locked="0"/>
    </xf>
    <xf numFmtId="169" fontId="1" fillId="0" borderId="0" xfId="0" applyNumberFormat="1" applyFont="1" applyAlignment="1" applyProtection="1">
      <alignment vertical="center"/>
      <protection locked="0"/>
    </xf>
    <xf numFmtId="169" fontId="5" fillId="0" borderId="12" xfId="0" applyNumberFormat="1" applyFont="1" applyBorder="1" applyAlignment="1" applyProtection="1">
      <alignment vertical="center"/>
      <protection locked="0"/>
    </xf>
    <xf numFmtId="164" fontId="18" fillId="0" borderId="0" xfId="0" applyNumberFormat="1" applyFont="1" applyAlignment="1" applyProtection="1">
      <alignment vertical="center"/>
      <protection locked="0"/>
    </xf>
    <xf numFmtId="4" fontId="1" fillId="0" borderId="12" xfId="0" applyNumberFormat="1" applyFont="1" applyBorder="1" applyAlignment="1" applyProtection="1">
      <alignment vertical="center"/>
      <protection locked="0"/>
    </xf>
    <xf numFmtId="167" fontId="1" fillId="0" borderId="0" xfId="0" applyNumberFormat="1" applyFont="1" applyAlignment="1" applyProtection="1">
      <alignment vertical="center"/>
      <protection locked="0"/>
    </xf>
    <xf numFmtId="164" fontId="1" fillId="0" borderId="3" xfId="2" applyNumberFormat="1" applyFont="1" applyBorder="1" applyAlignment="1">
      <alignment vertical="center" wrapText="1"/>
    </xf>
    <xf numFmtId="164" fontId="1" fillId="0" borderId="4" xfId="2" applyNumberFormat="1" applyFont="1" applyBorder="1" applyAlignment="1">
      <alignment vertical="center" wrapText="1"/>
    </xf>
    <xf numFmtId="167" fontId="1" fillId="0" borderId="0" xfId="2" applyNumberFormat="1" applyFont="1" applyAlignment="1" applyProtection="1">
      <alignment vertical="center"/>
      <protection locked="0"/>
    </xf>
    <xf numFmtId="0" fontId="19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164" fontId="15" fillId="0" borderId="15" xfId="0" applyNumberFormat="1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21" fillId="0" borderId="0" xfId="0" applyFont="1"/>
    <xf numFmtId="166" fontId="4" fillId="0" borderId="0" xfId="0" applyNumberFormat="1" applyFont="1" applyAlignment="1" applyProtection="1">
      <alignment vertical="center"/>
      <protection locked="0"/>
    </xf>
    <xf numFmtId="0" fontId="4" fillId="0" borderId="15" xfId="0" applyFont="1" applyBorder="1" applyAlignment="1">
      <alignment horizontal="left" vertical="center"/>
    </xf>
    <xf numFmtId="166" fontId="4" fillId="0" borderId="15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 wrapText="1"/>
    </xf>
    <xf numFmtId="166" fontId="5" fillId="0" borderId="1" xfId="0" applyNumberFormat="1" applyFont="1" applyBorder="1" applyAlignment="1" applyProtection="1">
      <alignment vertical="center"/>
      <protection locked="0"/>
    </xf>
    <xf numFmtId="4" fontId="1" fillId="0" borderId="8" xfId="0" applyNumberFormat="1" applyFont="1" applyBorder="1" applyAlignment="1" applyProtection="1">
      <alignment vertical="center"/>
      <protection locked="0"/>
    </xf>
    <xf numFmtId="166" fontId="1" fillId="0" borderId="11" xfId="0" applyNumberFormat="1" applyFont="1" applyBorder="1" applyAlignment="1" applyProtection="1">
      <alignment vertical="center"/>
      <protection locked="0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166" fontId="5" fillId="0" borderId="14" xfId="0" applyNumberFormat="1" applyFont="1" applyBorder="1" applyAlignment="1" applyProtection="1">
      <alignment vertical="center"/>
      <protection locked="0"/>
    </xf>
    <xf numFmtId="166" fontId="1" fillId="0" borderId="14" xfId="0" applyNumberFormat="1" applyFont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6" fontId="5" fillId="0" borderId="0" xfId="0" applyNumberFormat="1" applyFont="1" applyAlignment="1" applyProtection="1">
      <alignment vertical="center"/>
      <protection locked="0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166" fontId="5" fillId="0" borderId="15" xfId="0" applyNumberFormat="1" applyFont="1" applyBorder="1" applyAlignment="1" applyProtection="1">
      <alignment vertical="center"/>
      <protection locked="0"/>
    </xf>
    <xf numFmtId="166" fontId="1" fillId="0" borderId="15" xfId="0" applyNumberFormat="1" applyFont="1" applyBorder="1" applyAlignment="1" applyProtection="1">
      <alignment vertical="center"/>
      <protection locked="0"/>
    </xf>
    <xf numFmtId="164" fontId="15" fillId="0" borderId="4" xfId="1" applyNumberFormat="1" applyFont="1" applyBorder="1" applyAlignment="1">
      <alignment horizontal="center" vertical="center" wrapText="1"/>
    </xf>
    <xf numFmtId="164" fontId="15" fillId="0" borderId="8" xfId="0" applyNumberFormat="1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166" fontId="3" fillId="0" borderId="0" xfId="0" applyNumberFormat="1" applyFont="1" applyAlignment="1" applyProtection="1">
      <alignment vertical="center"/>
      <protection locked="0"/>
    </xf>
    <xf numFmtId="4" fontId="3" fillId="0" borderId="12" xfId="0" applyNumberFormat="1" applyFont="1" applyBorder="1" applyAlignment="1" applyProtection="1">
      <alignment vertical="center"/>
      <protection locked="0"/>
    </xf>
    <xf numFmtId="166" fontId="1" fillId="2" borderId="12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horizontal="left" indent="3"/>
    </xf>
    <xf numFmtId="0" fontId="20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3" fontId="1" fillId="0" borderId="0" xfId="0" applyNumberFormat="1" applyFont="1" applyAlignment="1">
      <alignment vertical="center"/>
    </xf>
    <xf numFmtId="3" fontId="17" fillId="0" borderId="0" xfId="0" applyNumberFormat="1" applyFont="1" applyAlignment="1">
      <alignment horizontal="left" vertical="center"/>
    </xf>
    <xf numFmtId="3" fontId="9" fillId="0" borderId="0" xfId="2" applyNumberFormat="1" applyFont="1" applyAlignment="1">
      <alignment vertical="center"/>
    </xf>
    <xf numFmtId="170" fontId="1" fillId="0" borderId="0" xfId="2" applyNumberFormat="1" applyFont="1" applyAlignment="1" applyProtection="1">
      <alignment vertical="center"/>
      <protection locked="0"/>
    </xf>
    <xf numFmtId="0" fontId="16" fillId="0" borderId="0" xfId="2" applyFont="1" applyAlignment="1">
      <alignment vertical="center"/>
    </xf>
    <xf numFmtId="3" fontId="16" fillId="0" borderId="0" xfId="2" applyNumberFormat="1" applyFont="1" applyAlignment="1">
      <alignment vertical="center"/>
    </xf>
    <xf numFmtId="164" fontId="16" fillId="0" borderId="0" xfId="2" applyNumberFormat="1" applyFont="1" applyAlignment="1" applyProtection="1">
      <alignment vertical="center"/>
      <protection locked="0"/>
    </xf>
    <xf numFmtId="164" fontId="16" fillId="0" borderId="0" xfId="0" applyNumberFormat="1" applyFont="1" applyAlignment="1" applyProtection="1">
      <alignment vertical="center"/>
      <protection locked="0"/>
    </xf>
    <xf numFmtId="0" fontId="15" fillId="0" borderId="8" xfId="0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2" fontId="1" fillId="0" borderId="0" xfId="0" applyNumberFormat="1" applyFont="1" applyAlignment="1" applyProtection="1">
      <alignment vertical="center"/>
      <protection locked="0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166" fontId="9" fillId="0" borderId="0" xfId="2" applyNumberFormat="1" applyFont="1" applyAlignment="1">
      <alignment vertical="center"/>
    </xf>
    <xf numFmtId="0" fontId="0" fillId="0" borderId="0" xfId="0" applyAlignment="1">
      <alignment vertical="center"/>
    </xf>
    <xf numFmtId="164" fontId="24" fillId="0" borderId="0" xfId="2" applyNumberFormat="1" applyFont="1" applyAlignment="1" applyProtection="1">
      <alignment vertical="center"/>
      <protection locked="0"/>
    </xf>
    <xf numFmtId="0" fontId="0" fillId="0" borderId="0" xfId="0" applyAlignment="1">
      <alignment horizontal="center" vertical="center" wrapText="1"/>
    </xf>
    <xf numFmtId="164" fontId="1" fillId="0" borderId="4" xfId="0" applyNumberFormat="1" applyFont="1" applyBorder="1" applyAlignment="1" applyProtection="1">
      <alignment vertical="center"/>
      <protection locked="0"/>
    </xf>
    <xf numFmtId="164" fontId="1" fillId="0" borderId="5" xfId="0" applyNumberFormat="1" applyFont="1" applyBorder="1" applyAlignment="1" applyProtection="1">
      <alignment vertical="center"/>
      <protection locked="0"/>
    </xf>
    <xf numFmtId="164" fontId="25" fillId="0" borderId="0" xfId="0" applyNumberFormat="1" applyFont="1" applyAlignment="1" applyProtection="1">
      <alignment vertical="center"/>
      <protection locked="0"/>
    </xf>
    <xf numFmtId="164" fontId="3" fillId="0" borderId="9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0" borderId="5" xfId="2" applyFont="1" applyBorder="1" applyAlignment="1">
      <alignment vertical="center"/>
    </xf>
    <xf numFmtId="0" fontId="3" fillId="2" borderId="12" xfId="0" applyFont="1" applyFill="1" applyBorder="1" applyAlignment="1">
      <alignment horizontal="left" vertical="center"/>
    </xf>
    <xf numFmtId="167" fontId="3" fillId="0" borderId="1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3" xfId="2" applyFont="1" applyBorder="1" applyAlignment="1">
      <alignment horizontal="left" vertical="center"/>
    </xf>
    <xf numFmtId="0" fontId="1" fillId="0" borderId="5" xfId="2" applyFont="1" applyBorder="1" applyAlignment="1">
      <alignment horizontal="left" vertical="center"/>
    </xf>
    <xf numFmtId="0" fontId="1" fillId="0" borderId="3" xfId="2" applyFont="1" applyBorder="1" applyAlignment="1">
      <alignment vertical="center" wrapText="1"/>
    </xf>
    <xf numFmtId="0" fontId="1" fillId="0" borderId="5" xfId="2" applyFont="1" applyBorder="1" applyAlignment="1">
      <alignment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164" fontId="15" fillId="0" borderId="1" xfId="1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4" fontId="15" fillId="0" borderId="9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4" fontId="3" fillId="0" borderId="6" xfId="1" applyNumberFormat="1" applyFont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15" fillId="0" borderId="2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164" fontId="15" fillId="0" borderId="3" xfId="1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vertical="center"/>
      <protection locked="0"/>
    </xf>
    <xf numFmtId="0" fontId="4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167" fontId="15" fillId="0" borderId="8" xfId="1" quotePrefix="1" applyNumberFormat="1" applyFont="1" applyBorder="1" applyAlignment="1" applyProtection="1">
      <alignment horizontal="center" vertical="center" wrapText="1"/>
      <protection hidden="1"/>
    </xf>
    <xf numFmtId="167" fontId="15" fillId="0" borderId="11" xfId="1" applyNumberFormat="1" applyFont="1" applyBorder="1" applyAlignment="1" applyProtection="1">
      <alignment horizontal="center" vertical="center" wrapText="1"/>
      <protection hidden="1"/>
    </xf>
    <xf numFmtId="167" fontId="15" fillId="0" borderId="3" xfId="1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/>
    </xf>
    <xf numFmtId="167" fontId="15" fillId="0" borderId="8" xfId="1" applyNumberFormat="1" applyFont="1" applyBorder="1" applyAlignment="1" applyProtection="1">
      <alignment horizontal="center" vertical="center" wrapText="1"/>
      <protection hidden="1"/>
    </xf>
    <xf numFmtId="167" fontId="15" fillId="0" borderId="9" xfId="1" applyNumberFormat="1" applyFont="1" applyBorder="1" applyAlignment="1">
      <alignment horizontal="center" vertical="center" wrapText="1"/>
    </xf>
    <xf numFmtId="0" fontId="10" fillId="2" borderId="12" xfId="2" applyFont="1" applyFill="1" applyBorder="1" applyAlignment="1">
      <alignment horizontal="left" vertical="center"/>
    </xf>
    <xf numFmtId="0" fontId="10" fillId="2" borderId="3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0" fontId="10" fillId="2" borderId="13" xfId="2" applyFont="1" applyFill="1" applyBorder="1" applyAlignment="1">
      <alignment horizontal="left" vertical="center"/>
    </xf>
    <xf numFmtId="0" fontId="10" fillId="0" borderId="12" xfId="2" applyFont="1" applyBorder="1" applyAlignment="1">
      <alignment horizontal="left" vertical="center"/>
    </xf>
    <xf numFmtId="167" fontId="15" fillId="0" borderId="1" xfId="1" applyNumberFormat="1" applyFont="1" applyBorder="1" applyAlignment="1">
      <alignment horizontal="center" vertical="center" wrapText="1"/>
    </xf>
    <xf numFmtId="167" fontId="15" fillId="0" borderId="2" xfId="1" applyNumberFormat="1" applyFont="1" applyBorder="1" applyAlignment="1">
      <alignment horizontal="center" vertical="center" wrapText="1"/>
    </xf>
    <xf numFmtId="167" fontId="15" fillId="0" borderId="6" xfId="1" applyNumberFormat="1" applyFont="1" applyBorder="1" applyAlignment="1">
      <alignment horizontal="center" vertical="center" wrapText="1"/>
    </xf>
    <xf numFmtId="167" fontId="15" fillId="0" borderId="7" xfId="1" applyNumberFormat="1" applyFont="1" applyBorder="1" applyAlignment="1">
      <alignment horizontal="center" vertical="center" wrapText="1"/>
    </xf>
    <xf numFmtId="167" fontId="15" fillId="0" borderId="10" xfId="1" applyNumberFormat="1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66" fontId="3" fillId="2" borderId="12" xfId="2" applyNumberFormat="1" applyFont="1" applyFill="1" applyBorder="1" applyAlignment="1">
      <alignment horizontal="left" vertical="center" wrapText="1"/>
    </xf>
    <xf numFmtId="166" fontId="3" fillId="2" borderId="3" xfId="2" applyNumberFormat="1" applyFont="1" applyFill="1" applyBorder="1" applyAlignment="1">
      <alignment horizontal="left" vertical="center" wrapText="1"/>
    </xf>
    <xf numFmtId="164" fontId="15" fillId="0" borderId="0" xfId="1" applyNumberFormat="1" applyFont="1" applyAlignment="1">
      <alignment horizontal="center" vertical="center" wrapText="1"/>
    </xf>
    <xf numFmtId="166" fontId="3" fillId="0" borderId="3" xfId="2" applyNumberFormat="1" applyFont="1" applyBorder="1" applyAlignment="1">
      <alignment horizontal="left" vertical="center" wrapText="1"/>
    </xf>
    <xf numFmtId="166" fontId="3" fillId="0" borderId="4" xfId="2" applyNumberFormat="1" applyFont="1" applyBorder="1" applyAlignment="1">
      <alignment horizontal="left" vertical="center" wrapText="1"/>
    </xf>
    <xf numFmtId="166" fontId="3" fillId="2" borderId="4" xfId="2" applyNumberFormat="1" applyFont="1" applyFill="1" applyBorder="1" applyAlignment="1">
      <alignment horizontal="left" vertical="center" wrapText="1"/>
    </xf>
    <xf numFmtId="166" fontId="3" fillId="0" borderId="12" xfId="2" applyNumberFormat="1" applyFont="1" applyBorder="1" applyAlignment="1">
      <alignment horizontal="left" vertical="center" wrapText="1"/>
    </xf>
    <xf numFmtId="164" fontId="15" fillId="0" borderId="15" xfId="1" applyNumberFormat="1" applyFont="1" applyBorder="1" applyAlignment="1">
      <alignment horizontal="center" vertical="center" wrapText="1"/>
    </xf>
    <xf numFmtId="0" fontId="3" fillId="0" borderId="12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1" fillId="0" borderId="12" xfId="2" applyFont="1" applyBorder="1" applyAlignment="1">
      <alignment horizontal="left" vertical="center"/>
    </xf>
    <xf numFmtId="0" fontId="4" fillId="0" borderId="9" xfId="2" applyFont="1" applyBorder="1" applyAlignment="1" applyProtection="1">
      <alignment horizontal="left" vertical="center"/>
      <protection hidden="1"/>
    </xf>
    <xf numFmtId="0" fontId="4" fillId="0" borderId="15" xfId="2" applyFont="1" applyBorder="1" applyAlignment="1" applyProtection="1">
      <alignment horizontal="left" vertical="center"/>
      <protection hidden="1"/>
    </xf>
    <xf numFmtId="167" fontId="3" fillId="0" borderId="8" xfId="1" applyNumberFormat="1" applyFont="1" applyBorder="1" applyAlignment="1">
      <alignment horizontal="center" vertical="center" wrapText="1"/>
    </xf>
    <xf numFmtId="167" fontId="3" fillId="0" borderId="11" xfId="1" applyNumberFormat="1" applyFont="1" applyBorder="1" applyAlignment="1">
      <alignment horizontal="center" vertical="center" wrapText="1"/>
    </xf>
    <xf numFmtId="0" fontId="7" fillId="0" borderId="11" xfId="2" applyBorder="1" applyAlignment="1">
      <alignment horizontal="center" vertical="center" wrapText="1"/>
    </xf>
    <xf numFmtId="0" fontId="7" fillId="0" borderId="2" xfId="2" applyBorder="1" applyAlignment="1">
      <alignment horizontal="center" vertical="center" wrapText="1"/>
    </xf>
    <xf numFmtId="0" fontId="7" fillId="0" borderId="9" xfId="2" applyBorder="1" applyAlignment="1">
      <alignment horizontal="center" vertical="center" wrapText="1"/>
    </xf>
    <xf numFmtId="0" fontId="7" fillId="0" borderId="10" xfId="2" applyBorder="1" applyAlignment="1">
      <alignment horizontal="center" vertical="center" wrapText="1"/>
    </xf>
    <xf numFmtId="0" fontId="4" fillId="0" borderId="3" xfId="2" applyFont="1" applyBorder="1" applyAlignment="1" applyProtection="1">
      <alignment horizontal="left" vertical="center"/>
      <protection hidden="1"/>
    </xf>
    <xf numFmtId="0" fontId="4" fillId="0" borderId="4" xfId="2" applyFont="1" applyBorder="1" applyAlignment="1" applyProtection="1">
      <alignment horizontal="left" vertical="center"/>
      <protection hidden="1"/>
    </xf>
    <xf numFmtId="167" fontId="3" fillId="0" borderId="2" xfId="1" applyNumberFormat="1" applyFont="1" applyBorder="1" applyAlignment="1">
      <alignment horizontal="center" vertical="center" wrapText="1"/>
    </xf>
    <xf numFmtId="167" fontId="3" fillId="0" borderId="9" xfId="1" applyNumberFormat="1" applyFont="1" applyBorder="1" applyAlignment="1">
      <alignment horizontal="center" vertical="center" wrapText="1"/>
    </xf>
    <xf numFmtId="167" fontId="3" fillId="0" borderId="10" xfId="1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6">
    <cellStyle name="Hiperłącze 2" xfId="3" xr:uid="{83AFAC95-BC58-486F-A9AE-F624BD6CB32D}"/>
    <cellStyle name="Normalny" xfId="0" builtinId="0"/>
    <cellStyle name="Normalny 2" xfId="2" xr:uid="{3F7C5392-FA8B-42BA-A857-7BE03D67A662}"/>
    <cellStyle name="Normalny 2 2 2" xfId="4" xr:uid="{F0A3F7A2-1670-412D-91FC-EF1E17ED24A9}"/>
    <cellStyle name="Normalny 3 2" xfId="5" xr:uid="{A58E9D1A-B5D2-49E1-93F9-3896C1A98678}"/>
    <cellStyle name="Normalny_Sprawozdania finansowe" xfId="1" xr:uid="{8AB57F57-9B1A-4A31-9745-02C3F7D8D3D9}"/>
  </cellStyles>
  <dxfs count="0"/>
  <tableStyles count="0" defaultTableStyle="TableStyleMedium2" defaultPivotStyle="PivotStyleLight16"/>
  <colors>
    <mruColors>
      <color rgb="FFFF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1</xdr:col>
      <xdr:colOff>4267200</xdr:colOff>
      <xdr:row>5</xdr:row>
      <xdr:rowOff>47625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CBE6F64-2B3D-469B-9E88-BE84BC6D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4257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821054</xdr:colOff>
      <xdr:row>0</xdr:row>
      <xdr:rowOff>0</xdr:rowOff>
    </xdr:from>
    <xdr:to>
      <xdr:col>4</xdr:col>
      <xdr:colOff>0</xdr:colOff>
      <xdr:row>5</xdr:row>
      <xdr:rowOff>66675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598B544-B6FC-4F83-8991-7C0066CF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79" y="0"/>
          <a:ext cx="164592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409574</xdr:colOff>
      <xdr:row>3</xdr:row>
      <xdr:rowOff>133350</xdr:rowOff>
    </xdr:from>
    <xdr:to>
      <xdr:col>2</xdr:col>
      <xdr:colOff>838200</xdr:colOff>
      <xdr:row>5</xdr:row>
      <xdr:rowOff>114300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D8DF7434-F08F-4E0F-8467-2F44267B5653}"/>
            </a:ext>
          </a:extLst>
        </xdr:cNvPr>
        <xdr:cNvSpPr txBox="1"/>
      </xdr:nvSpPr>
      <xdr:spPr>
        <a:xfrm>
          <a:off x="409574" y="619125"/>
          <a:ext cx="4895851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SKONSOLIDOWANE DANE FINANSOWE GRUPY APATOR OD 1Q 2018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77788</xdr:colOff>
      <xdr:row>0</xdr:row>
      <xdr:rowOff>0</xdr:rowOff>
    </xdr:from>
    <xdr:to>
      <xdr:col>48</xdr:col>
      <xdr:colOff>253693</xdr:colOff>
      <xdr:row>8</xdr:row>
      <xdr:rowOff>141729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3835DB-64EB-4CAB-A617-AF3DB864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76113" y="0"/>
          <a:ext cx="1395105" cy="751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241588</xdr:colOff>
      <xdr:row>5</xdr:row>
      <xdr:rowOff>57150</xdr:rowOff>
    </xdr:from>
    <xdr:to>
      <xdr:col>18</xdr:col>
      <xdr:colOff>417196</xdr:colOff>
      <xdr:row>9</xdr:row>
      <xdr:rowOff>114236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7497A3-9140-428F-8C2B-D590D192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9863" y="57150"/>
          <a:ext cx="1394808" cy="733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69273</xdr:colOff>
      <xdr:row>0</xdr:row>
      <xdr:rowOff>0</xdr:rowOff>
    </xdr:from>
    <xdr:to>
      <xdr:col>19</xdr:col>
      <xdr:colOff>241417</xdr:colOff>
      <xdr:row>4</xdr:row>
      <xdr:rowOff>123761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6E3E34C-C53A-4A3A-8F2A-7BFF9F14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1864" y="0"/>
          <a:ext cx="1403467" cy="747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8660</xdr:colOff>
      <xdr:row>0</xdr:row>
      <xdr:rowOff>0</xdr:rowOff>
    </xdr:from>
    <xdr:to>
      <xdr:col>16</xdr:col>
      <xdr:colOff>459798</xdr:colOff>
      <xdr:row>5</xdr:row>
      <xdr:rowOff>11257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81C3CF2-65DF-4F53-8C53-3E6A81B3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2" y="0"/>
          <a:ext cx="9845386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291582</xdr:colOff>
      <xdr:row>5</xdr:row>
      <xdr:rowOff>145792</xdr:rowOff>
    </xdr:from>
    <xdr:to>
      <xdr:col>41</xdr:col>
      <xdr:colOff>1062935</xdr:colOff>
      <xdr:row>10</xdr:row>
      <xdr:rowOff>92787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033DBEC-F9D5-4AE5-8AD9-39908DB1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7806" y="301302"/>
          <a:ext cx="1383675" cy="724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337357</xdr:colOff>
      <xdr:row>4</xdr:row>
      <xdr:rowOff>93345</xdr:rowOff>
    </xdr:from>
    <xdr:to>
      <xdr:col>19</xdr:col>
      <xdr:colOff>277042</xdr:colOff>
      <xdr:row>9</xdr:row>
      <xdr:rowOff>92812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1FBB499-C8BC-4EB9-AB7A-A10F7A55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657" y="93345"/>
          <a:ext cx="1368435" cy="761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116551</xdr:colOff>
      <xdr:row>4</xdr:row>
      <xdr:rowOff>13335</xdr:rowOff>
    </xdr:from>
    <xdr:to>
      <xdr:col>48</xdr:col>
      <xdr:colOff>890626</xdr:colOff>
      <xdr:row>8</xdr:row>
      <xdr:rowOff>128281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EB8B3E2-127D-4D35-9BB1-5950F1D4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7701" y="13335"/>
          <a:ext cx="1383675" cy="724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70</xdr:col>
      <xdr:colOff>390525</xdr:colOff>
      <xdr:row>7</xdr:row>
      <xdr:rowOff>123825</xdr:rowOff>
    </xdr:from>
    <xdr:to>
      <xdr:col>71</xdr:col>
      <xdr:colOff>931026</xdr:colOff>
      <xdr:row>12</xdr:row>
      <xdr:rowOff>71782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977928E-FACF-4999-815E-99DA3580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10400" y="581025"/>
          <a:ext cx="1169151" cy="709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284162</xdr:colOff>
      <xdr:row>4</xdr:row>
      <xdr:rowOff>9525</xdr:rowOff>
    </xdr:from>
    <xdr:to>
      <xdr:col>48</xdr:col>
      <xdr:colOff>458162</xdr:colOff>
      <xdr:row>8</xdr:row>
      <xdr:rowOff>152106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E870F16-FEE5-4075-8FB5-5E623D1B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5542" y="9525"/>
          <a:ext cx="1423680" cy="752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496888</xdr:colOff>
      <xdr:row>4</xdr:row>
      <xdr:rowOff>12700</xdr:rowOff>
    </xdr:from>
    <xdr:to>
      <xdr:col>49</xdr:col>
      <xdr:colOff>55573</xdr:colOff>
      <xdr:row>8</xdr:row>
      <xdr:rowOff>135379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D688480-B751-4430-88B3-2540F8C6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56963" y="12700"/>
          <a:ext cx="1383675" cy="743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4665-1F70-4279-9F3C-9F237088C0F3}">
  <sheetPr>
    <tabColor theme="4" tint="-0.249977111117893"/>
  </sheetPr>
  <dimension ref="A7:D25"/>
  <sheetViews>
    <sheetView showGridLines="0" topLeftCell="B1" zoomScaleNormal="100" workbookViewId="0">
      <selection activeCell="B8" sqref="B8"/>
    </sheetView>
  </sheetViews>
  <sheetFormatPr defaultColWidth="0" defaultRowHeight="12.75" x14ac:dyDescent="0.2"/>
  <cols>
    <col min="1" max="1" width="2.140625" hidden="1" customWidth="1"/>
    <col min="2" max="2" width="67" customWidth="1"/>
    <col min="3" max="3" width="16.140625" customWidth="1"/>
    <col min="4" max="4" width="20.85546875" customWidth="1"/>
    <col min="5" max="16384" width="9.140625" hidden="1"/>
  </cols>
  <sheetData>
    <row r="7" spans="2:3" s="91" customFormat="1" ht="15" x14ac:dyDescent="0.2">
      <c r="B7" s="110" t="s">
        <v>293</v>
      </c>
      <c r="C7" s="111"/>
    </row>
    <row r="8" spans="2:3" s="91" customFormat="1" ht="15" x14ac:dyDescent="0.2">
      <c r="B8" s="110" t="s">
        <v>286</v>
      </c>
      <c r="C8" s="111"/>
    </row>
    <row r="9" spans="2:3" s="91" customFormat="1" ht="15" x14ac:dyDescent="0.2">
      <c r="B9" s="110" t="s">
        <v>287</v>
      </c>
      <c r="C9" s="111"/>
    </row>
    <row r="10" spans="2:3" s="91" customFormat="1" ht="15" x14ac:dyDescent="0.2">
      <c r="B10" s="110" t="s">
        <v>288</v>
      </c>
      <c r="C10" s="111"/>
    </row>
    <row r="11" spans="2:3" s="91" customFormat="1" ht="15" x14ac:dyDescent="0.2">
      <c r="B11" s="110" t="s">
        <v>289</v>
      </c>
      <c r="C11" s="111"/>
    </row>
    <row r="12" spans="2:3" s="143" customFormat="1" ht="15" x14ac:dyDescent="0.2">
      <c r="B12" s="141" t="s">
        <v>290</v>
      </c>
      <c r="C12" s="142"/>
    </row>
    <row r="13" spans="2:3" s="143" customFormat="1" ht="15" x14ac:dyDescent="0.2">
      <c r="B13" s="141" t="s">
        <v>291</v>
      </c>
      <c r="C13" s="142"/>
    </row>
    <row r="14" spans="2:3" s="143" customFormat="1" ht="15" x14ac:dyDescent="0.2">
      <c r="B14" s="141" t="s">
        <v>292</v>
      </c>
      <c r="C14" s="142"/>
    </row>
    <row r="15" spans="2:3" s="90" customFormat="1" ht="12" x14ac:dyDescent="0.2"/>
    <row r="16" spans="2:3" s="90" customFormat="1" ht="12" x14ac:dyDescent="0.2"/>
    <row r="17" spans="2:4" s="90" customFormat="1" ht="12" x14ac:dyDescent="0.2"/>
    <row r="18" spans="2:4" s="90" customFormat="1" ht="54" customHeight="1" x14ac:dyDescent="0.2">
      <c r="B18" s="186" t="s">
        <v>285</v>
      </c>
      <c r="C18" s="187"/>
      <c r="D18" s="187"/>
    </row>
    <row r="19" spans="2:4" s="90" customFormat="1" ht="12" x14ac:dyDescent="0.2"/>
    <row r="20" spans="2:4" s="90" customFormat="1" ht="12" x14ac:dyDescent="0.2"/>
    <row r="21" spans="2:4" s="90" customFormat="1" ht="12" x14ac:dyDescent="0.2"/>
    <row r="22" spans="2:4" s="90" customFormat="1" ht="12" x14ac:dyDescent="0.2"/>
    <row r="23" spans="2:4" s="90" customFormat="1" ht="12" x14ac:dyDescent="0.2"/>
    <row r="24" spans="2:4" s="90" customFormat="1" ht="12" x14ac:dyDescent="0.2"/>
    <row r="25" spans="2:4" x14ac:dyDescent="0.2">
      <c r="B25" s="114"/>
    </row>
  </sheetData>
  <mergeCells count="1">
    <mergeCell ref="B18:D18"/>
  </mergeCells>
  <hyperlinks>
    <hyperlink ref="B9" location="BS!A1" display="2. Sprawozdanie z sytuacji finansowej" xr:uid="{8B5C3A3A-22F2-4C13-9701-3274CC795E28}"/>
    <hyperlink ref="B10" location="CF!Obszar_wydruku" display="3. Rachunek przepływów pieniężnych" xr:uid="{0A870F24-96EC-4156-9A7B-DFF7DA3D2283}"/>
    <hyperlink ref="B12" location="EE!Obszar_wydruku" display="4.1 Energia Elektryczna" xr:uid="{38115310-483D-445B-B30C-CEFDC1B54F20}"/>
    <hyperlink ref="B13" location="GAZ!Obszar_wydruku" display="4.2 Gaz" xr:uid="{9C8F637A-3AD0-4D8D-AA39-65AEDBEC8F7F}"/>
    <hyperlink ref="B14" location="'W&amp;H'!Obszar_wydruku" display="4.3 Woda i Ciepło" xr:uid="{2BA42804-8CE0-4664-B96E-92C679DD421A}"/>
    <hyperlink ref="B7" location="Summary!Obszar_wydruku" display="1. Summary" xr:uid="{1311B13F-0E96-473E-B881-D1CCB8C2E8FC}"/>
    <hyperlink ref="B8" location="'P&amp;L(y)'!Obszar_wydruku" display="2. Sprawozdanie z całkowitych dochodów" xr:uid="{E31FC395-B72F-49A8-942D-F747905A77B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D843-1B83-489C-A3C1-AE832D9C353F}">
  <sheetPr>
    <tabColor theme="4" tint="0.59999389629810485"/>
  </sheetPr>
  <dimension ref="B1:T68"/>
  <sheetViews>
    <sheetView zoomScaleNormal="100" zoomScaleSheetLayoutView="100" workbookViewId="0">
      <pane xSplit="3" ySplit="1" topLeftCell="D32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" sqref="B2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192</v>
      </c>
      <c r="C1" s="72"/>
      <c r="D1" s="48"/>
      <c r="E1" s="48"/>
      <c r="F1" s="48"/>
      <c r="G1" s="48"/>
      <c r="H1" s="48"/>
      <c r="I1" s="48"/>
      <c r="J1" s="48"/>
      <c r="L1" s="48" t="s">
        <v>192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2" t="s">
        <v>231</v>
      </c>
      <c r="C2" s="72"/>
      <c r="D2" s="48"/>
      <c r="E2" s="48"/>
      <c r="F2" s="48"/>
      <c r="G2" s="48"/>
      <c r="H2" s="48"/>
      <c r="I2" s="48"/>
      <c r="J2" s="48"/>
      <c r="L2" s="92" t="s">
        <v>231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174" t="s">
        <v>59</v>
      </c>
      <c r="C3" s="247"/>
      <c r="D3" s="244" t="s">
        <v>194</v>
      </c>
      <c r="E3" s="244" t="s">
        <v>195</v>
      </c>
      <c r="F3" s="244" t="s">
        <v>196</v>
      </c>
      <c r="G3" s="244" t="s">
        <v>197</v>
      </c>
      <c r="H3" s="244" t="s">
        <v>198</v>
      </c>
      <c r="I3" s="244" t="s">
        <v>199</v>
      </c>
      <c r="J3" s="244" t="s">
        <v>200</v>
      </c>
      <c r="K3" s="47"/>
      <c r="L3" s="174" t="s">
        <v>59</v>
      </c>
      <c r="M3" s="247"/>
      <c r="N3" s="244" t="s">
        <v>194</v>
      </c>
      <c r="O3" s="244" t="s">
        <v>195</v>
      </c>
      <c r="P3" s="244" t="s">
        <v>196</v>
      </c>
      <c r="Q3" s="244" t="s">
        <v>197</v>
      </c>
      <c r="R3" s="244" t="s">
        <v>198</v>
      </c>
      <c r="S3" s="244" t="s">
        <v>199</v>
      </c>
      <c r="T3" s="244" t="s">
        <v>200</v>
      </c>
    </row>
    <row r="4" spans="2:20" ht="11.1" customHeight="1" x14ac:dyDescent="0.2">
      <c r="B4" s="248"/>
      <c r="C4" s="249"/>
      <c r="D4" s="245"/>
      <c r="E4" s="245"/>
      <c r="F4" s="245"/>
      <c r="G4" s="245"/>
      <c r="H4" s="245"/>
      <c r="I4" s="245"/>
      <c r="J4" s="246"/>
      <c r="K4" s="47"/>
      <c r="L4" s="248"/>
      <c r="M4" s="249"/>
      <c r="N4" s="245"/>
      <c r="O4" s="245"/>
      <c r="P4" s="245"/>
      <c r="Q4" s="245"/>
      <c r="R4" s="245"/>
      <c r="S4" s="245"/>
      <c r="T4" s="246"/>
    </row>
    <row r="5" spans="2:20" ht="11.1" customHeight="1" x14ac:dyDescent="0.2">
      <c r="B5" s="250" t="s">
        <v>201</v>
      </c>
      <c r="C5" s="251"/>
      <c r="D5" s="251"/>
      <c r="E5" s="251"/>
      <c r="F5" s="251"/>
      <c r="G5" s="251"/>
      <c r="H5" s="73"/>
      <c r="I5" s="73"/>
      <c r="J5" s="74"/>
      <c r="K5" s="47"/>
      <c r="L5" s="250" t="s">
        <v>201</v>
      </c>
      <c r="M5" s="251"/>
      <c r="N5" s="251"/>
      <c r="O5" s="251"/>
      <c r="P5" s="251"/>
      <c r="Q5" s="251"/>
      <c r="R5" s="73"/>
      <c r="S5" s="73"/>
      <c r="T5" s="74"/>
    </row>
    <row r="6" spans="2:20" ht="11.1" customHeight="1" x14ac:dyDescent="0.2">
      <c r="B6" s="241" t="s">
        <v>202</v>
      </c>
      <c r="C6" s="241"/>
      <c r="D6" s="52">
        <v>95083</v>
      </c>
      <c r="E6" s="52">
        <v>56702</v>
      </c>
      <c r="F6" s="52">
        <v>60694</v>
      </c>
      <c r="G6" s="52">
        <v>0</v>
      </c>
      <c r="H6" s="52">
        <f>SUM(D6:G6)</f>
        <v>212479</v>
      </c>
      <c r="I6" s="52"/>
      <c r="J6" s="52">
        <f t="shared" ref="J6:J17" si="0">H6+I6</f>
        <v>212479</v>
      </c>
      <c r="K6" s="47"/>
      <c r="L6" s="241" t="s">
        <v>202</v>
      </c>
      <c r="M6" s="241"/>
      <c r="N6" s="52">
        <v>95083</v>
      </c>
      <c r="O6" s="52">
        <v>56702</v>
      </c>
      <c r="P6" s="52">
        <v>60694</v>
      </c>
      <c r="Q6" s="52">
        <v>0</v>
      </c>
      <c r="R6" s="52">
        <f>SUM(N6:Q6)</f>
        <v>212479</v>
      </c>
      <c r="S6" s="52"/>
      <c r="T6" s="52">
        <f t="shared" ref="T6:T17" si="1">R6+S6</f>
        <v>212479</v>
      </c>
    </row>
    <row r="7" spans="2:20" ht="11.1" customHeight="1" x14ac:dyDescent="0.2">
      <c r="B7" s="241" t="s">
        <v>33</v>
      </c>
      <c r="C7" s="241"/>
      <c r="D7" s="52">
        <v>69117</v>
      </c>
      <c r="E7" s="52">
        <v>42503</v>
      </c>
      <c r="F7" s="52">
        <v>37488</v>
      </c>
      <c r="G7" s="52">
        <v>0</v>
      </c>
      <c r="H7" s="52">
        <f t="shared" ref="H7:H17" si="2">SUM(D7:G7)</f>
        <v>149108</v>
      </c>
      <c r="I7" s="52"/>
      <c r="J7" s="52">
        <f t="shared" si="0"/>
        <v>149108</v>
      </c>
      <c r="K7" s="47"/>
      <c r="L7" s="241" t="s">
        <v>33</v>
      </c>
      <c r="M7" s="241"/>
      <c r="N7" s="52">
        <v>69117</v>
      </c>
      <c r="O7" s="52">
        <v>42503</v>
      </c>
      <c r="P7" s="52">
        <v>37488</v>
      </c>
      <c r="Q7" s="52">
        <v>0</v>
      </c>
      <c r="R7" s="52">
        <f t="shared" ref="R7:R17" si="3">SUM(N7:Q7)</f>
        <v>149108</v>
      </c>
      <c r="S7" s="52"/>
      <c r="T7" s="52">
        <f t="shared" si="1"/>
        <v>149108</v>
      </c>
    </row>
    <row r="8" spans="2:20" ht="11.1" customHeight="1" x14ac:dyDescent="0.2">
      <c r="B8" s="238" t="s">
        <v>203</v>
      </c>
      <c r="C8" s="238"/>
      <c r="D8" s="49">
        <f>D6-D7</f>
        <v>25966</v>
      </c>
      <c r="E8" s="49">
        <f>E6-E7</f>
        <v>14199</v>
      </c>
      <c r="F8" s="49">
        <f>F6-F7</f>
        <v>23206</v>
      </c>
      <c r="G8" s="49">
        <f>G6-G7</f>
        <v>0</v>
      </c>
      <c r="H8" s="49">
        <f t="shared" si="2"/>
        <v>63371</v>
      </c>
      <c r="I8" s="49">
        <f>I6-I7</f>
        <v>0</v>
      </c>
      <c r="J8" s="49">
        <f t="shared" si="0"/>
        <v>63371</v>
      </c>
      <c r="K8" s="47"/>
      <c r="L8" s="238" t="s">
        <v>203</v>
      </c>
      <c r="M8" s="238"/>
      <c r="N8" s="49">
        <f>N6-N7</f>
        <v>25966</v>
      </c>
      <c r="O8" s="49">
        <f>O6-O7</f>
        <v>14199</v>
      </c>
      <c r="P8" s="49">
        <f>P6-P7</f>
        <v>23206</v>
      </c>
      <c r="Q8" s="49">
        <f>Q6-Q7</f>
        <v>0</v>
      </c>
      <c r="R8" s="49">
        <f t="shared" si="3"/>
        <v>63371</v>
      </c>
      <c r="S8" s="49">
        <f>S6-S7</f>
        <v>0</v>
      </c>
      <c r="T8" s="49">
        <f t="shared" si="1"/>
        <v>63371</v>
      </c>
    </row>
    <row r="9" spans="2:20" ht="11.1" customHeight="1" x14ac:dyDescent="0.2">
      <c r="B9" s="171" t="s">
        <v>4</v>
      </c>
      <c r="C9" s="172"/>
      <c r="D9" s="52">
        <v>3538</v>
      </c>
      <c r="E9" s="52">
        <v>1265</v>
      </c>
      <c r="F9" s="52">
        <v>3924</v>
      </c>
      <c r="G9" s="52">
        <v>80.31</v>
      </c>
      <c r="H9" s="52">
        <f t="shared" si="2"/>
        <v>8807.31</v>
      </c>
      <c r="I9" s="52"/>
      <c r="J9" s="52">
        <f t="shared" si="0"/>
        <v>8807.31</v>
      </c>
      <c r="K9" s="47"/>
      <c r="L9" s="171" t="s">
        <v>4</v>
      </c>
      <c r="M9" s="172"/>
      <c r="N9" s="52">
        <v>3538</v>
      </c>
      <c r="O9" s="52">
        <v>1265</v>
      </c>
      <c r="P9" s="52">
        <v>3924</v>
      </c>
      <c r="Q9" s="52">
        <v>80.31</v>
      </c>
      <c r="R9" s="52">
        <f t="shared" si="3"/>
        <v>8807.31</v>
      </c>
      <c r="S9" s="52"/>
      <c r="T9" s="52">
        <f t="shared" si="1"/>
        <v>8807.31</v>
      </c>
    </row>
    <row r="10" spans="2:20" ht="11.1" customHeight="1" x14ac:dyDescent="0.2">
      <c r="B10" s="171" t="s">
        <v>5</v>
      </c>
      <c r="C10" s="172"/>
      <c r="D10" s="52">
        <v>15004</v>
      </c>
      <c r="E10" s="52">
        <v>6467</v>
      </c>
      <c r="F10" s="52">
        <v>10172</v>
      </c>
      <c r="G10" s="52">
        <v>580</v>
      </c>
      <c r="H10" s="52">
        <f t="shared" si="2"/>
        <v>32223</v>
      </c>
      <c r="I10" s="52"/>
      <c r="J10" s="52">
        <f t="shared" si="0"/>
        <v>32223</v>
      </c>
      <c r="K10" s="47"/>
      <c r="L10" s="171" t="s">
        <v>5</v>
      </c>
      <c r="M10" s="172"/>
      <c r="N10" s="52">
        <v>15004</v>
      </c>
      <c r="O10" s="52">
        <v>6467</v>
      </c>
      <c r="P10" s="52">
        <v>10172</v>
      </c>
      <c r="Q10" s="52">
        <v>580</v>
      </c>
      <c r="R10" s="52">
        <f t="shared" si="3"/>
        <v>32223</v>
      </c>
      <c r="S10" s="52"/>
      <c r="T10" s="52">
        <f t="shared" si="1"/>
        <v>32223</v>
      </c>
    </row>
    <row r="11" spans="2:20" ht="11.1" customHeight="1" x14ac:dyDescent="0.2">
      <c r="B11" s="238" t="s">
        <v>204</v>
      </c>
      <c r="C11" s="238"/>
      <c r="D11" s="49">
        <f>D8-D9-D10</f>
        <v>7424</v>
      </c>
      <c r="E11" s="49">
        <f>E8-E9-E10</f>
        <v>6467</v>
      </c>
      <c r="F11" s="49">
        <f>F8-F9-F10</f>
        <v>9110</v>
      </c>
      <c r="G11" s="49">
        <f>G8-G9-G10</f>
        <v>-660.31</v>
      </c>
      <c r="H11" s="49">
        <f t="shared" si="2"/>
        <v>22340.69</v>
      </c>
      <c r="I11" s="49">
        <f>I8-I9-I10</f>
        <v>0</v>
      </c>
      <c r="J11" s="49">
        <f t="shared" si="0"/>
        <v>22340.69</v>
      </c>
      <c r="K11" s="47"/>
      <c r="L11" s="238" t="s">
        <v>204</v>
      </c>
      <c r="M11" s="238"/>
      <c r="N11" s="49">
        <f>N8-N9-N10</f>
        <v>7424</v>
      </c>
      <c r="O11" s="49">
        <f>O8-O9-O10</f>
        <v>6467</v>
      </c>
      <c r="P11" s="49">
        <f>P8-P9-P10</f>
        <v>9110</v>
      </c>
      <c r="Q11" s="49">
        <f>Q8-Q9-Q10</f>
        <v>-660.31</v>
      </c>
      <c r="R11" s="49">
        <f t="shared" si="3"/>
        <v>22340.69</v>
      </c>
      <c r="S11" s="49">
        <f>S8-S9-S10</f>
        <v>0</v>
      </c>
      <c r="T11" s="49">
        <f t="shared" si="1"/>
        <v>22340.69</v>
      </c>
    </row>
    <row r="12" spans="2:20" ht="11.1" customHeight="1" x14ac:dyDescent="0.2">
      <c r="B12" s="171" t="s">
        <v>205</v>
      </c>
      <c r="C12" s="172"/>
      <c r="D12" s="52">
        <v>-252</v>
      </c>
      <c r="E12" s="52">
        <v>-76</v>
      </c>
      <c r="F12" s="52">
        <v>-629</v>
      </c>
      <c r="G12" s="52">
        <v>0</v>
      </c>
      <c r="H12" s="52">
        <f t="shared" si="2"/>
        <v>-957</v>
      </c>
      <c r="I12" s="52">
        <v>0</v>
      </c>
      <c r="J12" s="52">
        <f t="shared" si="0"/>
        <v>-957</v>
      </c>
      <c r="K12" s="47"/>
      <c r="L12" s="171" t="s">
        <v>205</v>
      </c>
      <c r="M12" s="172"/>
      <c r="N12" s="52">
        <v>-252</v>
      </c>
      <c r="O12" s="52">
        <v>-76</v>
      </c>
      <c r="P12" s="52">
        <v>-629</v>
      </c>
      <c r="Q12" s="52">
        <v>0</v>
      </c>
      <c r="R12" s="52">
        <f t="shared" si="3"/>
        <v>-957</v>
      </c>
      <c r="S12" s="52">
        <v>0</v>
      </c>
      <c r="T12" s="52">
        <f t="shared" si="1"/>
        <v>-957</v>
      </c>
    </row>
    <row r="13" spans="2:20" ht="11.1" customHeight="1" x14ac:dyDescent="0.2">
      <c r="B13" s="180" t="s">
        <v>206</v>
      </c>
      <c r="C13" s="172"/>
      <c r="D13" s="52">
        <v>0</v>
      </c>
      <c r="E13" s="52">
        <v>0</v>
      </c>
      <c r="F13" s="52">
        <v>235</v>
      </c>
      <c r="G13" s="52">
        <v>0</v>
      </c>
      <c r="H13" s="52">
        <f t="shared" si="2"/>
        <v>235</v>
      </c>
      <c r="I13" s="52"/>
      <c r="J13" s="52">
        <f t="shared" si="0"/>
        <v>235</v>
      </c>
      <c r="K13" s="47"/>
      <c r="L13" s="180" t="s">
        <v>206</v>
      </c>
      <c r="M13" s="172"/>
      <c r="N13" s="52">
        <v>0</v>
      </c>
      <c r="O13" s="52">
        <v>0</v>
      </c>
      <c r="P13" s="52">
        <v>235</v>
      </c>
      <c r="Q13" s="52">
        <v>0</v>
      </c>
      <c r="R13" s="52">
        <f t="shared" si="3"/>
        <v>235</v>
      </c>
      <c r="S13" s="52"/>
      <c r="T13" s="52">
        <f t="shared" si="1"/>
        <v>235</v>
      </c>
    </row>
    <row r="14" spans="2:20" ht="11.1" customHeight="1" x14ac:dyDescent="0.2">
      <c r="B14" s="180" t="s">
        <v>27</v>
      </c>
      <c r="C14" s="172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180" t="s">
        <v>27</v>
      </c>
      <c r="M14" s="172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38" t="s">
        <v>207</v>
      </c>
      <c r="C15" s="238"/>
      <c r="D15" s="49">
        <f t="shared" ref="D15:G15" si="4">D11+D12+D13+D14</f>
        <v>7172</v>
      </c>
      <c r="E15" s="49">
        <f t="shared" si="4"/>
        <v>6391</v>
      </c>
      <c r="F15" s="49">
        <f t="shared" si="4"/>
        <v>8716</v>
      </c>
      <c r="G15" s="49">
        <f t="shared" si="4"/>
        <v>-660.31</v>
      </c>
      <c r="H15" s="49">
        <f t="shared" si="2"/>
        <v>21618.69</v>
      </c>
      <c r="I15" s="49">
        <f>I11+I12+I14</f>
        <v>0</v>
      </c>
      <c r="J15" s="49">
        <f t="shared" si="0"/>
        <v>21618.69</v>
      </c>
      <c r="K15" s="47"/>
      <c r="L15" s="238" t="s">
        <v>207</v>
      </c>
      <c r="M15" s="238"/>
      <c r="N15" s="49">
        <f t="shared" ref="N15:Q15" si="5">N11+N12+N13+N14</f>
        <v>7172</v>
      </c>
      <c r="O15" s="49">
        <f t="shared" si="5"/>
        <v>6391</v>
      </c>
      <c r="P15" s="49">
        <f t="shared" si="5"/>
        <v>8716</v>
      </c>
      <c r="Q15" s="49">
        <f t="shared" si="5"/>
        <v>-660.31</v>
      </c>
      <c r="R15" s="49">
        <f t="shared" si="3"/>
        <v>21618.69</v>
      </c>
      <c r="S15" s="49">
        <f>S11+S12+S14</f>
        <v>0</v>
      </c>
      <c r="T15" s="49">
        <f t="shared" si="1"/>
        <v>21618.69</v>
      </c>
    </row>
    <row r="16" spans="2:20" ht="11.1" customHeight="1" x14ac:dyDescent="0.2">
      <c r="B16" s="75" t="s">
        <v>22</v>
      </c>
      <c r="C16" s="76"/>
      <c r="D16" s="49">
        <v>5964</v>
      </c>
      <c r="E16" s="49">
        <v>3369</v>
      </c>
      <c r="F16" s="49">
        <v>2363</v>
      </c>
      <c r="G16" s="49">
        <v>0</v>
      </c>
      <c r="H16" s="49">
        <f t="shared" si="2"/>
        <v>11696</v>
      </c>
      <c r="I16" s="49">
        <v>0</v>
      </c>
      <c r="J16" s="49">
        <f t="shared" si="0"/>
        <v>11696</v>
      </c>
      <c r="K16" s="47"/>
      <c r="L16" s="75" t="s">
        <v>22</v>
      </c>
      <c r="M16" s="76"/>
      <c r="N16" s="49">
        <v>5964</v>
      </c>
      <c r="O16" s="49">
        <v>3369</v>
      </c>
      <c r="P16" s="49">
        <v>2363</v>
      </c>
      <c r="Q16" s="49">
        <v>0</v>
      </c>
      <c r="R16" s="49">
        <f t="shared" si="3"/>
        <v>11696</v>
      </c>
      <c r="S16" s="49">
        <v>0</v>
      </c>
      <c r="T16" s="49">
        <f t="shared" si="1"/>
        <v>11696</v>
      </c>
    </row>
    <row r="17" spans="2:20" ht="11.1" customHeight="1" x14ac:dyDescent="0.2">
      <c r="B17" s="239" t="s">
        <v>23</v>
      </c>
      <c r="C17" s="240"/>
      <c r="D17" s="49">
        <f>D15+D16</f>
        <v>13136</v>
      </c>
      <c r="E17" s="49">
        <f t="shared" ref="E17:G17" si="6">E15+E16</f>
        <v>9760</v>
      </c>
      <c r="F17" s="49">
        <f t="shared" si="6"/>
        <v>11079</v>
      </c>
      <c r="G17" s="49">
        <f t="shared" si="6"/>
        <v>-660.31</v>
      </c>
      <c r="H17" s="49">
        <f t="shared" si="2"/>
        <v>33314.69</v>
      </c>
      <c r="I17" s="49">
        <f>I15+I16</f>
        <v>0</v>
      </c>
      <c r="J17" s="49">
        <f t="shared" si="0"/>
        <v>33314.69</v>
      </c>
      <c r="K17" s="47"/>
      <c r="L17" s="239" t="s">
        <v>23</v>
      </c>
      <c r="M17" s="240"/>
      <c r="N17" s="49">
        <f>N15+N16</f>
        <v>13136</v>
      </c>
      <c r="O17" s="49">
        <f t="shared" ref="O17:Q17" si="7">O15+O16</f>
        <v>9760</v>
      </c>
      <c r="P17" s="49">
        <f t="shared" si="7"/>
        <v>11079</v>
      </c>
      <c r="Q17" s="49">
        <f t="shared" si="7"/>
        <v>-660.31</v>
      </c>
      <c r="R17" s="49">
        <f t="shared" si="3"/>
        <v>33314.69</v>
      </c>
      <c r="S17" s="49">
        <f>S15+S16</f>
        <v>0</v>
      </c>
      <c r="T17" s="49">
        <f t="shared" si="1"/>
        <v>33314.69</v>
      </c>
    </row>
    <row r="18" spans="2:20" ht="11.1" customHeight="1" x14ac:dyDescent="0.2">
      <c r="B18" s="81"/>
      <c r="C18" s="81"/>
      <c r="D18" s="82"/>
      <c r="E18" s="82"/>
      <c r="F18" s="82"/>
      <c r="G18" s="82"/>
      <c r="H18" s="82"/>
      <c r="I18" s="82"/>
      <c r="J18" s="82"/>
      <c r="K18" s="47"/>
      <c r="L18" s="81"/>
      <c r="M18" s="81"/>
      <c r="N18" s="82"/>
      <c r="O18" s="82"/>
      <c r="P18" s="82"/>
      <c r="Q18" s="82"/>
      <c r="R18" s="82"/>
      <c r="S18" s="82"/>
      <c r="T18" s="82"/>
    </row>
    <row r="19" spans="2:20" s="47" customFormat="1" ht="11.1" customHeight="1" x14ac:dyDescent="0.2">
      <c r="B19" s="77"/>
      <c r="C19" s="78"/>
      <c r="D19" s="77"/>
      <c r="E19" s="77"/>
      <c r="F19" s="77"/>
      <c r="G19" s="77"/>
      <c r="H19" s="77"/>
      <c r="I19" s="77"/>
      <c r="J19" s="77"/>
      <c r="L19" s="77"/>
      <c r="M19" s="78"/>
      <c r="N19" s="77"/>
      <c r="O19" s="77"/>
      <c r="P19" s="77"/>
      <c r="Q19" s="77"/>
      <c r="R19" s="77"/>
      <c r="S19" s="77"/>
      <c r="T19" s="77"/>
    </row>
    <row r="20" spans="2:20" s="47" customFormat="1" ht="11.1" customHeight="1" x14ac:dyDescent="0.2">
      <c r="B20" s="174" t="s">
        <v>59</v>
      </c>
      <c r="C20" s="247"/>
      <c r="D20" s="244" t="s">
        <v>194</v>
      </c>
      <c r="E20" s="244" t="s">
        <v>195</v>
      </c>
      <c r="F20" s="244" t="s">
        <v>196</v>
      </c>
      <c r="G20" s="244" t="s">
        <v>197</v>
      </c>
      <c r="H20" s="244" t="s">
        <v>198</v>
      </c>
      <c r="I20" s="244" t="s">
        <v>199</v>
      </c>
      <c r="J20" s="244" t="s">
        <v>200</v>
      </c>
      <c r="L20" s="174" t="s">
        <v>59</v>
      </c>
      <c r="M20" s="247"/>
      <c r="N20" s="244" t="s">
        <v>194</v>
      </c>
      <c r="O20" s="244" t="s">
        <v>195</v>
      </c>
      <c r="P20" s="244" t="s">
        <v>196</v>
      </c>
      <c r="Q20" s="244" t="s">
        <v>197</v>
      </c>
      <c r="R20" s="244" t="s">
        <v>198</v>
      </c>
      <c r="S20" s="244" t="s">
        <v>199</v>
      </c>
      <c r="T20" s="244" t="s">
        <v>200</v>
      </c>
    </row>
    <row r="21" spans="2:20" s="47" customFormat="1" ht="11.1" customHeight="1" x14ac:dyDescent="0.2">
      <c r="B21" s="248"/>
      <c r="C21" s="249"/>
      <c r="D21" s="245"/>
      <c r="E21" s="245"/>
      <c r="F21" s="245"/>
      <c r="G21" s="245"/>
      <c r="H21" s="245"/>
      <c r="I21" s="245"/>
      <c r="J21" s="246"/>
      <c r="L21" s="248"/>
      <c r="M21" s="249"/>
      <c r="N21" s="245"/>
      <c r="O21" s="245"/>
      <c r="P21" s="245"/>
      <c r="Q21" s="245"/>
      <c r="R21" s="245"/>
      <c r="S21" s="245"/>
      <c r="T21" s="246"/>
    </row>
    <row r="22" spans="2:20" s="47" customFormat="1" ht="11.1" customHeight="1" x14ac:dyDescent="0.2">
      <c r="B22" s="250" t="s">
        <v>209</v>
      </c>
      <c r="C22" s="251"/>
      <c r="D22" s="251"/>
      <c r="E22" s="251"/>
      <c r="F22" s="251"/>
      <c r="G22" s="251"/>
      <c r="H22" s="73"/>
      <c r="I22" s="73"/>
      <c r="J22" s="74"/>
      <c r="L22" s="250" t="s">
        <v>210</v>
      </c>
      <c r="M22" s="251"/>
      <c r="N22" s="251"/>
      <c r="O22" s="251"/>
      <c r="P22" s="251"/>
      <c r="Q22" s="251"/>
      <c r="R22" s="73"/>
      <c r="S22" s="73"/>
      <c r="T22" s="74"/>
    </row>
    <row r="23" spans="2:20" s="47" customFormat="1" ht="11.1" customHeight="1" x14ac:dyDescent="0.2">
      <c r="B23" s="241" t="s">
        <v>202</v>
      </c>
      <c r="C23" s="241"/>
      <c r="D23" s="52">
        <v>185111</v>
      </c>
      <c r="E23" s="52">
        <v>111219</v>
      </c>
      <c r="F23" s="52">
        <v>126931</v>
      </c>
      <c r="G23" s="52">
        <v>0</v>
      </c>
      <c r="H23" s="52">
        <f>SUM(D23:G23)</f>
        <v>423261</v>
      </c>
      <c r="I23" s="52"/>
      <c r="J23" s="52">
        <f t="shared" ref="J23:J34" si="8">H23+I23</f>
        <v>423261</v>
      </c>
      <c r="L23" s="241" t="s">
        <v>202</v>
      </c>
      <c r="M23" s="241"/>
      <c r="N23" s="52">
        <f t="shared" ref="N23:Q24" si="9">D23-D6</f>
        <v>90028</v>
      </c>
      <c r="O23" s="52">
        <f t="shared" si="9"/>
        <v>54517</v>
      </c>
      <c r="P23" s="52">
        <f t="shared" si="9"/>
        <v>66237</v>
      </c>
      <c r="Q23" s="52">
        <f t="shared" si="9"/>
        <v>0</v>
      </c>
      <c r="R23" s="52">
        <f>SUM(N23:Q23)</f>
        <v>210782</v>
      </c>
      <c r="S23" s="52">
        <f>I23-I6</f>
        <v>0</v>
      </c>
      <c r="T23" s="52">
        <f t="shared" ref="T23:T34" si="10">R23+S23</f>
        <v>210782</v>
      </c>
    </row>
    <row r="24" spans="2:20" s="47" customFormat="1" ht="11.1" customHeight="1" x14ac:dyDescent="0.2">
      <c r="B24" s="241" t="s">
        <v>33</v>
      </c>
      <c r="C24" s="241"/>
      <c r="D24" s="52">
        <v>133948</v>
      </c>
      <c r="E24" s="52">
        <v>85218</v>
      </c>
      <c r="F24" s="52">
        <v>77804</v>
      </c>
      <c r="G24" s="52">
        <v>0</v>
      </c>
      <c r="H24" s="52">
        <f t="shared" ref="H24:H34" si="11">SUM(D24:G24)</f>
        <v>296970</v>
      </c>
      <c r="I24" s="52"/>
      <c r="J24" s="52">
        <f t="shared" si="8"/>
        <v>296970</v>
      </c>
      <c r="L24" s="241" t="s">
        <v>33</v>
      </c>
      <c r="M24" s="241"/>
      <c r="N24" s="52">
        <f t="shared" si="9"/>
        <v>64831</v>
      </c>
      <c r="O24" s="52">
        <f t="shared" si="9"/>
        <v>42715</v>
      </c>
      <c r="P24" s="52">
        <f t="shared" si="9"/>
        <v>40316</v>
      </c>
      <c r="Q24" s="52">
        <f t="shared" si="9"/>
        <v>0</v>
      </c>
      <c r="R24" s="52">
        <f t="shared" ref="R24:R34" si="12">SUM(N24:Q24)</f>
        <v>147862</v>
      </c>
      <c r="S24" s="52">
        <f>I24-I7</f>
        <v>0</v>
      </c>
      <c r="T24" s="52">
        <f t="shared" si="10"/>
        <v>147862</v>
      </c>
    </row>
    <row r="25" spans="2:20" s="47" customFormat="1" ht="11.1" customHeight="1" x14ac:dyDescent="0.2">
      <c r="B25" s="238" t="s">
        <v>203</v>
      </c>
      <c r="C25" s="238"/>
      <c r="D25" s="49">
        <f>D23-D24</f>
        <v>51163</v>
      </c>
      <c r="E25" s="49">
        <f>E23-E24</f>
        <v>26001</v>
      </c>
      <c r="F25" s="49">
        <f>F23-F24</f>
        <v>49127</v>
      </c>
      <c r="G25" s="49">
        <f>G23-G24</f>
        <v>0</v>
      </c>
      <c r="H25" s="49">
        <f t="shared" si="11"/>
        <v>126291</v>
      </c>
      <c r="I25" s="49">
        <f>I23-I24</f>
        <v>0</v>
      </c>
      <c r="J25" s="49">
        <f t="shared" si="8"/>
        <v>126291</v>
      </c>
      <c r="L25" s="238" t="s">
        <v>203</v>
      </c>
      <c r="M25" s="238"/>
      <c r="N25" s="49">
        <f>N23-N24</f>
        <v>25197</v>
      </c>
      <c r="O25" s="49">
        <f>O23-O24</f>
        <v>11802</v>
      </c>
      <c r="P25" s="49">
        <f>P23-P24</f>
        <v>25921</v>
      </c>
      <c r="Q25" s="49">
        <f>Q23-Q24</f>
        <v>0</v>
      </c>
      <c r="R25" s="49">
        <f t="shared" si="12"/>
        <v>62920</v>
      </c>
      <c r="S25" s="49">
        <f>S23-S24</f>
        <v>0</v>
      </c>
      <c r="T25" s="49">
        <f t="shared" si="10"/>
        <v>62920</v>
      </c>
    </row>
    <row r="26" spans="2:20" s="47" customFormat="1" ht="11.1" customHeight="1" x14ac:dyDescent="0.2">
      <c r="B26" s="171" t="s">
        <v>4</v>
      </c>
      <c r="C26" s="172"/>
      <c r="D26" s="52">
        <v>8299</v>
      </c>
      <c r="E26" s="52">
        <v>2837</v>
      </c>
      <c r="F26" s="52">
        <v>8033</v>
      </c>
      <c r="G26" s="52">
        <v>191</v>
      </c>
      <c r="H26" s="52">
        <f t="shared" si="11"/>
        <v>19360</v>
      </c>
      <c r="I26" s="52"/>
      <c r="J26" s="52">
        <f t="shared" si="8"/>
        <v>19360</v>
      </c>
      <c r="L26" s="171" t="s">
        <v>4</v>
      </c>
      <c r="M26" s="172"/>
      <c r="N26" s="52">
        <f t="shared" ref="N26:Q27" si="13">D26-D9</f>
        <v>4761</v>
      </c>
      <c r="O26" s="52">
        <f t="shared" si="13"/>
        <v>1572</v>
      </c>
      <c r="P26" s="52">
        <f t="shared" si="13"/>
        <v>4109</v>
      </c>
      <c r="Q26" s="52">
        <f t="shared" si="13"/>
        <v>110.69</v>
      </c>
      <c r="R26" s="52">
        <f t="shared" si="12"/>
        <v>10552.69</v>
      </c>
      <c r="S26" s="52">
        <f>I26-I9</f>
        <v>0</v>
      </c>
      <c r="T26" s="52">
        <f t="shared" si="10"/>
        <v>10552.69</v>
      </c>
    </row>
    <row r="27" spans="2:20" s="47" customFormat="1" ht="11.1" customHeight="1" x14ac:dyDescent="0.2">
      <c r="B27" s="171" t="s">
        <v>5</v>
      </c>
      <c r="C27" s="172"/>
      <c r="D27" s="52">
        <v>29781</v>
      </c>
      <c r="E27" s="52">
        <v>12277</v>
      </c>
      <c r="F27" s="52">
        <v>20253</v>
      </c>
      <c r="G27" s="52">
        <v>1543</v>
      </c>
      <c r="H27" s="52">
        <f t="shared" si="11"/>
        <v>63854</v>
      </c>
      <c r="I27" s="52"/>
      <c r="J27" s="52">
        <f t="shared" si="8"/>
        <v>63854</v>
      </c>
      <c r="L27" s="171" t="s">
        <v>5</v>
      </c>
      <c r="M27" s="172"/>
      <c r="N27" s="52">
        <f t="shared" si="13"/>
        <v>14777</v>
      </c>
      <c r="O27" s="52">
        <f t="shared" si="13"/>
        <v>5810</v>
      </c>
      <c r="P27" s="52">
        <f t="shared" si="13"/>
        <v>10081</v>
      </c>
      <c r="Q27" s="52">
        <f t="shared" si="13"/>
        <v>963</v>
      </c>
      <c r="R27" s="52">
        <f t="shared" si="12"/>
        <v>31631</v>
      </c>
      <c r="S27" s="52">
        <f>I27-I10</f>
        <v>0</v>
      </c>
      <c r="T27" s="52">
        <f t="shared" si="10"/>
        <v>31631</v>
      </c>
    </row>
    <row r="28" spans="2:20" s="47" customFormat="1" ht="11.1" customHeight="1" x14ac:dyDescent="0.2">
      <c r="B28" s="238" t="s">
        <v>204</v>
      </c>
      <c r="C28" s="238"/>
      <c r="D28" s="49">
        <f>D25-D26-D27</f>
        <v>13083</v>
      </c>
      <c r="E28" s="49">
        <f>E25-E26-E27</f>
        <v>10887</v>
      </c>
      <c r="F28" s="49">
        <f>F25-F26-F27</f>
        <v>20841</v>
      </c>
      <c r="G28" s="49">
        <f>G25-G26-G27</f>
        <v>-1734</v>
      </c>
      <c r="H28" s="49">
        <f t="shared" si="11"/>
        <v>43077</v>
      </c>
      <c r="I28" s="49">
        <f>I25-I26-I27</f>
        <v>0</v>
      </c>
      <c r="J28" s="49">
        <f t="shared" si="8"/>
        <v>43077</v>
      </c>
      <c r="L28" s="238" t="s">
        <v>204</v>
      </c>
      <c r="M28" s="238"/>
      <c r="N28" s="49">
        <f>N25-N26-N27</f>
        <v>5659</v>
      </c>
      <c r="O28" s="49">
        <f>O25-O26-O27</f>
        <v>4420</v>
      </c>
      <c r="P28" s="49">
        <f>P25-P26-P27</f>
        <v>11731</v>
      </c>
      <c r="Q28" s="49">
        <f>Q25-Q26-Q27</f>
        <v>-1073.69</v>
      </c>
      <c r="R28" s="49">
        <f t="shared" si="12"/>
        <v>20736.310000000001</v>
      </c>
      <c r="S28" s="49">
        <f>S25-S26-S27</f>
        <v>0</v>
      </c>
      <c r="T28" s="49">
        <f t="shared" si="10"/>
        <v>20736.310000000001</v>
      </c>
    </row>
    <row r="29" spans="2:20" s="47" customFormat="1" ht="11.1" customHeight="1" x14ac:dyDescent="0.2">
      <c r="B29" s="171" t="s">
        <v>205</v>
      </c>
      <c r="C29" s="172"/>
      <c r="D29" s="52">
        <v>-659</v>
      </c>
      <c r="E29" s="52">
        <v>-36</v>
      </c>
      <c r="F29" s="52">
        <v>-1387</v>
      </c>
      <c r="G29" s="52">
        <v>0</v>
      </c>
      <c r="H29" s="52">
        <f t="shared" si="11"/>
        <v>-2082</v>
      </c>
      <c r="I29" s="52">
        <v>0</v>
      </c>
      <c r="J29" s="52">
        <f t="shared" si="8"/>
        <v>-2082</v>
      </c>
      <c r="L29" s="171" t="s">
        <v>205</v>
      </c>
      <c r="M29" s="172"/>
      <c r="N29" s="52">
        <f t="shared" ref="N29:P31" si="14">D29-D12</f>
        <v>-407</v>
      </c>
      <c r="O29" s="52">
        <f t="shared" si="14"/>
        <v>40</v>
      </c>
      <c r="P29" s="52">
        <f t="shared" si="14"/>
        <v>-758</v>
      </c>
      <c r="Q29" s="52">
        <v>0</v>
      </c>
      <c r="R29" s="52">
        <f t="shared" si="12"/>
        <v>-1125</v>
      </c>
      <c r="S29" s="52">
        <f>I29-I12</f>
        <v>0</v>
      </c>
      <c r="T29" s="52">
        <f t="shared" si="10"/>
        <v>-1125</v>
      </c>
    </row>
    <row r="30" spans="2:20" s="47" customFormat="1" ht="11.1" customHeight="1" x14ac:dyDescent="0.2">
      <c r="B30" s="180" t="s">
        <v>206</v>
      </c>
      <c r="C30" s="172"/>
      <c r="D30" s="52">
        <v>0</v>
      </c>
      <c r="E30" s="52">
        <v>0</v>
      </c>
      <c r="F30" s="52">
        <v>563</v>
      </c>
      <c r="G30" s="52">
        <v>0</v>
      </c>
      <c r="H30" s="52">
        <f t="shared" si="11"/>
        <v>563</v>
      </c>
      <c r="I30" s="52"/>
      <c r="J30" s="52">
        <f t="shared" si="8"/>
        <v>563</v>
      </c>
      <c r="L30" s="180" t="s">
        <v>206</v>
      </c>
      <c r="M30" s="172"/>
      <c r="N30" s="52">
        <f t="shared" si="14"/>
        <v>0</v>
      </c>
      <c r="O30" s="52">
        <f t="shared" si="14"/>
        <v>0</v>
      </c>
      <c r="P30" s="52">
        <f t="shared" si="14"/>
        <v>328</v>
      </c>
      <c r="Q30" s="52">
        <v>0</v>
      </c>
      <c r="R30" s="52">
        <f t="shared" si="12"/>
        <v>328</v>
      </c>
      <c r="S30" s="52">
        <f>I30-I13</f>
        <v>0</v>
      </c>
      <c r="T30" s="52">
        <f t="shared" si="10"/>
        <v>328</v>
      </c>
    </row>
    <row r="31" spans="2:20" s="47" customFormat="1" ht="11.1" customHeight="1" x14ac:dyDescent="0.2">
      <c r="B31" s="180" t="s">
        <v>27</v>
      </c>
      <c r="C31" s="172"/>
      <c r="D31" s="52">
        <v>0</v>
      </c>
      <c r="E31" s="52">
        <v>0</v>
      </c>
      <c r="F31" s="52">
        <v>0</v>
      </c>
      <c r="G31" s="52">
        <v>0</v>
      </c>
      <c r="H31" s="52">
        <f t="shared" si="11"/>
        <v>0</v>
      </c>
      <c r="I31" s="52">
        <v>0</v>
      </c>
      <c r="J31" s="52">
        <f t="shared" si="8"/>
        <v>0</v>
      </c>
      <c r="L31" s="180" t="s">
        <v>27</v>
      </c>
      <c r="M31" s="172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v>0</v>
      </c>
      <c r="R31" s="52">
        <f t="shared" si="12"/>
        <v>0</v>
      </c>
      <c r="S31" s="52">
        <f>I31-I14</f>
        <v>0</v>
      </c>
      <c r="T31" s="52">
        <f t="shared" si="10"/>
        <v>0</v>
      </c>
    </row>
    <row r="32" spans="2:20" s="47" customFormat="1" ht="11.1" customHeight="1" x14ac:dyDescent="0.2">
      <c r="B32" s="238" t="s">
        <v>207</v>
      </c>
      <c r="C32" s="238"/>
      <c r="D32" s="49">
        <f t="shared" ref="D32:G32" si="15">D28+D29+D30+D31</f>
        <v>12424</v>
      </c>
      <c r="E32" s="49">
        <f t="shared" si="15"/>
        <v>10851</v>
      </c>
      <c r="F32" s="49">
        <f t="shared" si="15"/>
        <v>20017</v>
      </c>
      <c r="G32" s="49">
        <f t="shared" si="15"/>
        <v>-1734</v>
      </c>
      <c r="H32" s="49">
        <f t="shared" si="11"/>
        <v>41558</v>
      </c>
      <c r="I32" s="49">
        <f>I28+I29+I31</f>
        <v>0</v>
      </c>
      <c r="J32" s="49">
        <f t="shared" si="8"/>
        <v>41558</v>
      </c>
      <c r="L32" s="238" t="s">
        <v>207</v>
      </c>
      <c r="M32" s="238"/>
      <c r="N32" s="49">
        <f t="shared" ref="N32:Q32" si="16">N28+N29+N30+N31</f>
        <v>5252</v>
      </c>
      <c r="O32" s="49">
        <f t="shared" si="16"/>
        <v>4460</v>
      </c>
      <c r="P32" s="49">
        <f t="shared" si="16"/>
        <v>11301</v>
      </c>
      <c r="Q32" s="49">
        <f t="shared" si="16"/>
        <v>-1073.69</v>
      </c>
      <c r="R32" s="49">
        <f t="shared" si="12"/>
        <v>19939.310000000001</v>
      </c>
      <c r="S32" s="49">
        <f>S28+S29+S31</f>
        <v>0</v>
      </c>
      <c r="T32" s="49">
        <f t="shared" si="10"/>
        <v>19939.310000000001</v>
      </c>
    </row>
    <row r="33" spans="2:20" s="47" customFormat="1" ht="11.1" customHeight="1" x14ac:dyDescent="0.2">
      <c r="B33" s="75" t="s">
        <v>22</v>
      </c>
      <c r="C33" s="76"/>
      <c r="D33" s="49">
        <v>12267</v>
      </c>
      <c r="E33" s="49">
        <v>7891</v>
      </c>
      <c r="F33" s="49">
        <v>4513</v>
      </c>
      <c r="G33" s="49">
        <v>0</v>
      </c>
      <c r="H33" s="49">
        <f t="shared" si="11"/>
        <v>24671</v>
      </c>
      <c r="I33" s="49">
        <v>0</v>
      </c>
      <c r="J33" s="49">
        <f t="shared" si="8"/>
        <v>24671</v>
      </c>
      <c r="L33" s="75" t="s">
        <v>22</v>
      </c>
      <c r="M33" s="76"/>
      <c r="N33" s="49">
        <f>D33-D16</f>
        <v>6303</v>
      </c>
      <c r="O33" s="49">
        <f>E33-E16</f>
        <v>4522</v>
      </c>
      <c r="P33" s="49">
        <f>F33-F16</f>
        <v>2150</v>
      </c>
      <c r="Q33" s="49">
        <f>G33-G16</f>
        <v>0</v>
      </c>
      <c r="R33" s="49">
        <f t="shared" si="12"/>
        <v>12975</v>
      </c>
      <c r="S33" s="49">
        <f>I33-I16</f>
        <v>0</v>
      </c>
      <c r="T33" s="49">
        <f t="shared" si="10"/>
        <v>12975</v>
      </c>
    </row>
    <row r="34" spans="2:20" s="47" customFormat="1" ht="11.1" customHeight="1" x14ac:dyDescent="0.2">
      <c r="B34" s="239" t="s">
        <v>23</v>
      </c>
      <c r="C34" s="240"/>
      <c r="D34" s="49">
        <f>D32+D33</f>
        <v>24691</v>
      </c>
      <c r="E34" s="49">
        <f t="shared" ref="E34:G34" si="17">E32+E33</f>
        <v>18742</v>
      </c>
      <c r="F34" s="49">
        <f t="shared" si="17"/>
        <v>24530</v>
      </c>
      <c r="G34" s="49">
        <f t="shared" si="17"/>
        <v>-1734</v>
      </c>
      <c r="H34" s="49">
        <f t="shared" si="11"/>
        <v>66229</v>
      </c>
      <c r="I34" s="49">
        <f>I32+I33</f>
        <v>0</v>
      </c>
      <c r="J34" s="49">
        <f t="shared" si="8"/>
        <v>66229</v>
      </c>
      <c r="L34" s="239" t="s">
        <v>23</v>
      </c>
      <c r="M34" s="240"/>
      <c r="N34" s="49">
        <f>N32+N33</f>
        <v>11555</v>
      </c>
      <c r="O34" s="49">
        <f t="shared" ref="O34:Q34" si="18">O32+O33</f>
        <v>8982</v>
      </c>
      <c r="P34" s="49">
        <f t="shared" si="18"/>
        <v>13451</v>
      </c>
      <c r="Q34" s="49">
        <f t="shared" si="18"/>
        <v>-1073.69</v>
      </c>
      <c r="R34" s="49">
        <f t="shared" si="12"/>
        <v>32914.31</v>
      </c>
      <c r="S34" s="49">
        <f>S32+S33</f>
        <v>0</v>
      </c>
      <c r="T34" s="49">
        <f t="shared" si="10"/>
        <v>32914.31</v>
      </c>
    </row>
    <row r="35" spans="2:20" s="47" customFormat="1" ht="11.1" customHeight="1" x14ac:dyDescent="0.2">
      <c r="B35" s="81"/>
      <c r="C35" s="81"/>
      <c r="D35" s="82"/>
      <c r="E35" s="82"/>
      <c r="F35" s="82"/>
      <c r="G35" s="82"/>
      <c r="H35" s="82"/>
      <c r="I35" s="82"/>
      <c r="J35" s="83"/>
      <c r="L35" s="81"/>
      <c r="M35" s="81"/>
      <c r="N35" s="82"/>
      <c r="O35" s="82"/>
      <c r="P35" s="82"/>
      <c r="Q35" s="82"/>
      <c r="R35" s="82"/>
      <c r="S35" s="82"/>
      <c r="T35" s="83"/>
    </row>
    <row r="36" spans="2:20" ht="11.1" customHeight="1" x14ac:dyDescent="0.2">
      <c r="B36" s="48" t="s">
        <v>193</v>
      </c>
      <c r="C36" s="72"/>
      <c r="D36" s="48"/>
      <c r="E36" s="48"/>
      <c r="F36" s="48"/>
      <c r="G36" s="48"/>
      <c r="H36" s="48"/>
      <c r="I36" s="48"/>
      <c r="J36" s="79"/>
      <c r="L36" s="48" t="s">
        <v>193</v>
      </c>
      <c r="M36" s="72"/>
      <c r="N36" s="48"/>
      <c r="O36" s="48"/>
      <c r="P36" s="48"/>
      <c r="Q36" s="48"/>
      <c r="R36" s="48"/>
      <c r="S36" s="48"/>
      <c r="T36" s="79"/>
    </row>
    <row r="37" spans="2:20" ht="11.1" customHeight="1" x14ac:dyDescent="0.2">
      <c r="B37" s="174" t="s">
        <v>59</v>
      </c>
      <c r="C37" s="247"/>
      <c r="D37" s="244" t="s">
        <v>194</v>
      </c>
      <c r="E37" s="244" t="s">
        <v>195</v>
      </c>
      <c r="F37" s="244" t="s">
        <v>196</v>
      </c>
      <c r="G37" s="244" t="s">
        <v>197</v>
      </c>
      <c r="H37" s="244" t="s">
        <v>198</v>
      </c>
      <c r="I37" s="244" t="s">
        <v>199</v>
      </c>
      <c r="J37" s="244" t="s">
        <v>200</v>
      </c>
      <c r="L37" s="174" t="s">
        <v>59</v>
      </c>
      <c r="M37" s="247"/>
      <c r="N37" s="244" t="s">
        <v>194</v>
      </c>
      <c r="O37" s="244" t="s">
        <v>195</v>
      </c>
      <c r="P37" s="244" t="s">
        <v>196</v>
      </c>
      <c r="Q37" s="244" t="s">
        <v>197</v>
      </c>
      <c r="R37" s="244" t="s">
        <v>198</v>
      </c>
      <c r="S37" s="244" t="s">
        <v>199</v>
      </c>
      <c r="T37" s="244" t="s">
        <v>200</v>
      </c>
    </row>
    <row r="38" spans="2:20" ht="11.1" customHeight="1" x14ac:dyDescent="0.2">
      <c r="B38" s="248"/>
      <c r="C38" s="249"/>
      <c r="D38" s="245"/>
      <c r="E38" s="245"/>
      <c r="F38" s="245"/>
      <c r="G38" s="245"/>
      <c r="H38" s="245"/>
      <c r="I38" s="245"/>
      <c r="J38" s="245"/>
      <c r="L38" s="248"/>
      <c r="M38" s="249"/>
      <c r="N38" s="245"/>
      <c r="O38" s="245"/>
      <c r="P38" s="245"/>
      <c r="Q38" s="245"/>
      <c r="R38" s="245"/>
      <c r="S38" s="245"/>
      <c r="T38" s="245"/>
    </row>
    <row r="39" spans="2:20" ht="11.1" customHeight="1" x14ac:dyDescent="0.2">
      <c r="B39" s="250" t="s">
        <v>213</v>
      </c>
      <c r="C39" s="251"/>
      <c r="D39" s="251"/>
      <c r="E39" s="251"/>
      <c r="F39" s="251"/>
      <c r="G39" s="251"/>
      <c r="H39" s="73"/>
      <c r="I39" s="73"/>
      <c r="J39" s="80"/>
      <c r="L39" s="250" t="s">
        <v>214</v>
      </c>
      <c r="M39" s="251"/>
      <c r="N39" s="251"/>
      <c r="O39" s="251"/>
      <c r="P39" s="251"/>
      <c r="Q39" s="251"/>
      <c r="R39" s="73"/>
      <c r="S39" s="73"/>
      <c r="T39" s="80"/>
    </row>
    <row r="40" spans="2:20" ht="11.1" customHeight="1" x14ac:dyDescent="0.2">
      <c r="B40" s="241" t="s">
        <v>202</v>
      </c>
      <c r="C40" s="241"/>
      <c r="D40" s="52">
        <v>279614</v>
      </c>
      <c r="E40" s="52">
        <v>174546</v>
      </c>
      <c r="F40" s="52">
        <v>189596</v>
      </c>
      <c r="G40" s="52"/>
      <c r="H40" s="52">
        <f t="shared" ref="H40:H51" si="19">SUM(D40:G40)</f>
        <v>643756</v>
      </c>
      <c r="I40" s="52"/>
      <c r="J40" s="52">
        <f>H40+I40</f>
        <v>643756</v>
      </c>
      <c r="L40" s="241" t="s">
        <v>202</v>
      </c>
      <c r="M40" s="241"/>
      <c r="N40" s="52">
        <f t="shared" ref="N40:Q41" si="20">D40-D23</f>
        <v>94503</v>
      </c>
      <c r="O40" s="52">
        <f t="shared" si="20"/>
        <v>63327</v>
      </c>
      <c r="P40" s="52">
        <f t="shared" si="20"/>
        <v>62665</v>
      </c>
      <c r="Q40" s="52">
        <f t="shared" si="20"/>
        <v>0</v>
      </c>
      <c r="R40" s="52">
        <f>SUM(N40:Q40)</f>
        <v>220495</v>
      </c>
      <c r="S40" s="52">
        <f>I40-I23</f>
        <v>0</v>
      </c>
      <c r="T40" s="52">
        <f t="shared" ref="T40:T51" si="21">R40+S40</f>
        <v>220495</v>
      </c>
    </row>
    <row r="41" spans="2:20" ht="11.1" customHeight="1" x14ac:dyDescent="0.2">
      <c r="B41" s="241" t="s">
        <v>33</v>
      </c>
      <c r="C41" s="241"/>
      <c r="D41" s="52">
        <v>202224</v>
      </c>
      <c r="E41" s="52">
        <v>134638</v>
      </c>
      <c r="F41" s="52">
        <v>120481</v>
      </c>
      <c r="G41" s="52"/>
      <c r="H41" s="52">
        <f t="shared" si="19"/>
        <v>457343</v>
      </c>
      <c r="I41" s="52"/>
      <c r="J41" s="52">
        <f t="shared" ref="J41:J51" si="22">H41+I41</f>
        <v>457343</v>
      </c>
      <c r="L41" s="241" t="s">
        <v>33</v>
      </c>
      <c r="M41" s="241"/>
      <c r="N41" s="52">
        <f t="shared" si="20"/>
        <v>68276</v>
      </c>
      <c r="O41" s="52">
        <f t="shared" si="20"/>
        <v>49420</v>
      </c>
      <c r="P41" s="52">
        <f t="shared" si="20"/>
        <v>42677</v>
      </c>
      <c r="Q41" s="52">
        <f t="shared" si="20"/>
        <v>0</v>
      </c>
      <c r="R41" s="52">
        <f t="shared" ref="R41:R51" si="23">SUM(N41:Q41)</f>
        <v>160373</v>
      </c>
      <c r="S41" s="52">
        <f>I41-I24</f>
        <v>0</v>
      </c>
      <c r="T41" s="52">
        <f t="shared" si="21"/>
        <v>160373</v>
      </c>
    </row>
    <row r="42" spans="2:20" ht="11.1" customHeight="1" x14ac:dyDescent="0.2">
      <c r="B42" s="238" t="s">
        <v>203</v>
      </c>
      <c r="C42" s="238"/>
      <c r="D42" s="49">
        <f>D40-D41</f>
        <v>77390</v>
      </c>
      <c r="E42" s="49">
        <f>E40-E41</f>
        <v>39908</v>
      </c>
      <c r="F42" s="49">
        <f>F40-F41</f>
        <v>69115</v>
      </c>
      <c r="G42" s="49">
        <f>G40-G41</f>
        <v>0</v>
      </c>
      <c r="H42" s="49">
        <f t="shared" si="19"/>
        <v>186413</v>
      </c>
      <c r="I42" s="49">
        <f>I40-I41</f>
        <v>0</v>
      </c>
      <c r="J42" s="49">
        <f t="shared" si="22"/>
        <v>186413</v>
      </c>
      <c r="L42" s="238" t="s">
        <v>203</v>
      </c>
      <c r="M42" s="238"/>
      <c r="N42" s="49">
        <f>N40-N41</f>
        <v>26227</v>
      </c>
      <c r="O42" s="49">
        <f>O40-O41</f>
        <v>13907</v>
      </c>
      <c r="P42" s="49">
        <f>P40-P41</f>
        <v>19988</v>
      </c>
      <c r="Q42" s="49">
        <f>Q40-Q41</f>
        <v>0</v>
      </c>
      <c r="R42" s="49">
        <f t="shared" si="23"/>
        <v>60122</v>
      </c>
      <c r="S42" s="49">
        <f>S40-S41</f>
        <v>0</v>
      </c>
      <c r="T42" s="49">
        <f t="shared" si="21"/>
        <v>60122</v>
      </c>
    </row>
    <row r="43" spans="2:20" ht="11.1" customHeight="1" x14ac:dyDescent="0.2">
      <c r="B43" s="171" t="s">
        <v>4</v>
      </c>
      <c r="C43" s="172"/>
      <c r="D43" s="52">
        <v>12372</v>
      </c>
      <c r="E43" s="52">
        <v>4438</v>
      </c>
      <c r="F43" s="52">
        <v>11621</v>
      </c>
      <c r="G43" s="52">
        <v>283</v>
      </c>
      <c r="H43" s="52">
        <f t="shared" si="19"/>
        <v>28714</v>
      </c>
      <c r="I43" s="52"/>
      <c r="J43" s="52">
        <f t="shared" si="22"/>
        <v>28714</v>
      </c>
      <c r="L43" s="171" t="s">
        <v>4</v>
      </c>
      <c r="M43" s="172"/>
      <c r="N43" s="52">
        <f t="shared" ref="N43:Q44" si="24">D43-D26</f>
        <v>4073</v>
      </c>
      <c r="O43" s="52">
        <f t="shared" si="24"/>
        <v>1601</v>
      </c>
      <c r="P43" s="52">
        <f t="shared" si="24"/>
        <v>3588</v>
      </c>
      <c r="Q43" s="52">
        <f t="shared" si="24"/>
        <v>92</v>
      </c>
      <c r="R43" s="52">
        <f t="shared" si="23"/>
        <v>9354</v>
      </c>
      <c r="S43" s="52">
        <f>I43-I26</f>
        <v>0</v>
      </c>
      <c r="T43" s="52">
        <f t="shared" si="21"/>
        <v>9354</v>
      </c>
    </row>
    <row r="44" spans="2:20" ht="11.1" customHeight="1" x14ac:dyDescent="0.2">
      <c r="B44" s="171" t="s">
        <v>5</v>
      </c>
      <c r="C44" s="172"/>
      <c r="D44" s="52">
        <v>42964</v>
      </c>
      <c r="E44" s="52">
        <v>18608</v>
      </c>
      <c r="F44" s="52">
        <v>29662</v>
      </c>
      <c r="G44" s="52">
        <v>2163</v>
      </c>
      <c r="H44" s="52">
        <f t="shared" si="19"/>
        <v>93397</v>
      </c>
      <c r="I44" s="52"/>
      <c r="J44" s="52">
        <f t="shared" si="22"/>
        <v>93397</v>
      </c>
      <c r="L44" s="171" t="s">
        <v>5</v>
      </c>
      <c r="M44" s="172"/>
      <c r="N44" s="52">
        <f t="shared" si="24"/>
        <v>13183</v>
      </c>
      <c r="O44" s="52">
        <f t="shared" si="24"/>
        <v>6331</v>
      </c>
      <c r="P44" s="52">
        <f t="shared" si="24"/>
        <v>9409</v>
      </c>
      <c r="Q44" s="52">
        <f t="shared" si="24"/>
        <v>620</v>
      </c>
      <c r="R44" s="52">
        <f t="shared" si="23"/>
        <v>29543</v>
      </c>
      <c r="S44" s="52">
        <f>I44-I27</f>
        <v>0</v>
      </c>
      <c r="T44" s="52">
        <f t="shared" si="21"/>
        <v>29543</v>
      </c>
    </row>
    <row r="45" spans="2:20" ht="11.1" customHeight="1" x14ac:dyDescent="0.2">
      <c r="B45" s="238" t="s">
        <v>204</v>
      </c>
      <c r="C45" s="238"/>
      <c r="D45" s="49">
        <f>D42-D43-D44</f>
        <v>22054</v>
      </c>
      <c r="E45" s="49">
        <f>E42-E43-E44</f>
        <v>16862</v>
      </c>
      <c r="F45" s="49">
        <f>F42-F43-F44</f>
        <v>27832</v>
      </c>
      <c r="G45" s="49">
        <f>G42-G43-G44</f>
        <v>-2446</v>
      </c>
      <c r="H45" s="49">
        <f t="shared" si="19"/>
        <v>64302</v>
      </c>
      <c r="I45" s="49">
        <f>I42-I43-I44</f>
        <v>0</v>
      </c>
      <c r="J45" s="49">
        <f t="shared" si="22"/>
        <v>64302</v>
      </c>
      <c r="L45" s="238" t="s">
        <v>204</v>
      </c>
      <c r="M45" s="238"/>
      <c r="N45" s="49">
        <f>N42-N43-N44</f>
        <v>8971</v>
      </c>
      <c r="O45" s="49">
        <f>O42-O43-O44</f>
        <v>5975</v>
      </c>
      <c r="P45" s="49">
        <f>P42-P43-P44</f>
        <v>6991</v>
      </c>
      <c r="Q45" s="49">
        <f>Q42-Q43-Q44</f>
        <v>-712</v>
      </c>
      <c r="R45" s="49">
        <f t="shared" si="23"/>
        <v>21225</v>
      </c>
      <c r="S45" s="49">
        <f>S42-S43-S44</f>
        <v>0</v>
      </c>
      <c r="T45" s="49">
        <f t="shared" si="21"/>
        <v>21225</v>
      </c>
    </row>
    <row r="46" spans="2:20" ht="11.1" customHeight="1" x14ac:dyDescent="0.2">
      <c r="B46" s="171" t="s">
        <v>205</v>
      </c>
      <c r="C46" s="172"/>
      <c r="D46" s="52">
        <v>-4622</v>
      </c>
      <c r="E46" s="52">
        <v>1797</v>
      </c>
      <c r="F46" s="52">
        <v>-2042</v>
      </c>
      <c r="G46" s="52"/>
      <c r="H46" s="52">
        <f t="shared" si="19"/>
        <v>-4867</v>
      </c>
      <c r="I46" s="52">
        <v>0</v>
      </c>
      <c r="J46" s="52">
        <f t="shared" si="22"/>
        <v>-4867</v>
      </c>
      <c r="L46" s="171" t="s">
        <v>205</v>
      </c>
      <c r="M46" s="172"/>
      <c r="N46" s="52">
        <f t="shared" ref="N46:Q48" si="25">D46-D29</f>
        <v>-3963</v>
      </c>
      <c r="O46" s="52">
        <f t="shared" si="25"/>
        <v>1833</v>
      </c>
      <c r="P46" s="52">
        <f t="shared" si="25"/>
        <v>-655</v>
      </c>
      <c r="Q46" s="52">
        <f t="shared" si="25"/>
        <v>0</v>
      </c>
      <c r="R46" s="52">
        <f t="shared" si="23"/>
        <v>-2785</v>
      </c>
      <c r="S46" s="52">
        <f>I46-I29</f>
        <v>0</v>
      </c>
      <c r="T46" s="52">
        <f t="shared" si="21"/>
        <v>-2785</v>
      </c>
    </row>
    <row r="47" spans="2:20" ht="11.1" customHeight="1" x14ac:dyDescent="0.2">
      <c r="B47" s="180" t="s">
        <v>206</v>
      </c>
      <c r="C47" s="172"/>
      <c r="D47" s="52">
        <v>0</v>
      </c>
      <c r="E47" s="52">
        <v>0</v>
      </c>
      <c r="F47" s="52">
        <v>1166</v>
      </c>
      <c r="G47" s="52"/>
      <c r="H47" s="52">
        <f t="shared" si="19"/>
        <v>1166</v>
      </c>
      <c r="I47" s="52"/>
      <c r="J47" s="52">
        <f t="shared" si="22"/>
        <v>1166</v>
      </c>
      <c r="L47" s="180" t="s">
        <v>206</v>
      </c>
      <c r="M47" s="172"/>
      <c r="N47" s="52">
        <f t="shared" si="25"/>
        <v>0</v>
      </c>
      <c r="O47" s="52">
        <f t="shared" si="25"/>
        <v>0</v>
      </c>
      <c r="P47" s="52">
        <f t="shared" si="25"/>
        <v>603</v>
      </c>
      <c r="Q47" s="52">
        <f t="shared" si="25"/>
        <v>0</v>
      </c>
      <c r="R47" s="52">
        <f t="shared" si="23"/>
        <v>603</v>
      </c>
      <c r="S47" s="52">
        <f>I47-I30</f>
        <v>0</v>
      </c>
      <c r="T47" s="52">
        <f t="shared" si="21"/>
        <v>603</v>
      </c>
    </row>
    <row r="48" spans="2:20" ht="11.1" customHeight="1" x14ac:dyDescent="0.2">
      <c r="B48" s="180" t="s">
        <v>27</v>
      </c>
      <c r="C48" s="172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180" t="s">
        <v>27</v>
      </c>
      <c r="M48" s="172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38" t="s">
        <v>207</v>
      </c>
      <c r="C49" s="238"/>
      <c r="D49" s="49">
        <f t="shared" ref="D49:G49" si="26">D45+D46+D47+D48</f>
        <v>17432</v>
      </c>
      <c r="E49" s="49">
        <f t="shared" si="26"/>
        <v>18659</v>
      </c>
      <c r="F49" s="49">
        <f t="shared" si="26"/>
        <v>26956</v>
      </c>
      <c r="G49" s="49">
        <f t="shared" si="26"/>
        <v>-2446</v>
      </c>
      <c r="H49" s="49">
        <f t="shared" si="19"/>
        <v>60601</v>
      </c>
      <c r="I49" s="49">
        <f>I45+I46+I48</f>
        <v>0</v>
      </c>
      <c r="J49" s="49">
        <f>H49+I49</f>
        <v>60601</v>
      </c>
      <c r="L49" s="238" t="s">
        <v>207</v>
      </c>
      <c r="M49" s="238"/>
      <c r="N49" s="49">
        <f t="shared" ref="N49:Q49" si="27">N45+N46+N47+N48</f>
        <v>5008</v>
      </c>
      <c r="O49" s="49">
        <f t="shared" si="27"/>
        <v>7808</v>
      </c>
      <c r="P49" s="49">
        <f t="shared" si="27"/>
        <v>6939</v>
      </c>
      <c r="Q49" s="49">
        <f t="shared" si="27"/>
        <v>-712</v>
      </c>
      <c r="R49" s="49">
        <f t="shared" si="23"/>
        <v>19043</v>
      </c>
      <c r="S49" s="49">
        <f>S45+S46+S48</f>
        <v>0</v>
      </c>
      <c r="T49" s="49">
        <f t="shared" si="21"/>
        <v>19043</v>
      </c>
    </row>
    <row r="50" spans="2:20" ht="11.1" customHeight="1" x14ac:dyDescent="0.2">
      <c r="B50" s="75" t="s">
        <v>22</v>
      </c>
      <c r="C50" s="76"/>
      <c r="D50" s="49">
        <v>18524</v>
      </c>
      <c r="E50" s="49">
        <v>11697</v>
      </c>
      <c r="F50" s="49">
        <v>6811</v>
      </c>
      <c r="G50" s="49">
        <v>0</v>
      </c>
      <c r="H50" s="49">
        <f t="shared" si="19"/>
        <v>37032</v>
      </c>
      <c r="I50" s="49">
        <v>0</v>
      </c>
      <c r="J50" s="49">
        <f t="shared" si="22"/>
        <v>37032</v>
      </c>
      <c r="L50" s="75" t="s">
        <v>22</v>
      </c>
      <c r="M50" s="76"/>
      <c r="N50" s="49">
        <f>D50-D33</f>
        <v>6257</v>
      </c>
      <c r="O50" s="49">
        <f>E50-E33</f>
        <v>3806</v>
      </c>
      <c r="P50" s="49">
        <f>F50-F33</f>
        <v>2298</v>
      </c>
      <c r="Q50" s="49">
        <f>G50-G33</f>
        <v>0</v>
      </c>
      <c r="R50" s="49">
        <f t="shared" si="23"/>
        <v>12361</v>
      </c>
      <c r="S50" s="49">
        <f>I50-I33</f>
        <v>0</v>
      </c>
      <c r="T50" s="49">
        <f t="shared" si="21"/>
        <v>12361</v>
      </c>
    </row>
    <row r="51" spans="2:20" ht="11.1" customHeight="1" x14ac:dyDescent="0.2">
      <c r="B51" s="239" t="s">
        <v>23</v>
      </c>
      <c r="C51" s="240"/>
      <c r="D51" s="49">
        <f>D49+D50</f>
        <v>35956</v>
      </c>
      <c r="E51" s="49">
        <f t="shared" ref="E51:G51" si="28">E49+E50</f>
        <v>30356</v>
      </c>
      <c r="F51" s="49">
        <f t="shared" si="28"/>
        <v>33767</v>
      </c>
      <c r="G51" s="49">
        <f t="shared" si="28"/>
        <v>-2446</v>
      </c>
      <c r="H51" s="49">
        <f t="shared" si="19"/>
        <v>97633</v>
      </c>
      <c r="I51" s="49">
        <f>I49+I50</f>
        <v>0</v>
      </c>
      <c r="J51" s="49">
        <f t="shared" si="22"/>
        <v>97633</v>
      </c>
      <c r="L51" s="239" t="s">
        <v>23</v>
      </c>
      <c r="M51" s="240"/>
      <c r="N51" s="49">
        <f>N49+N50</f>
        <v>11265</v>
      </c>
      <c r="O51" s="49">
        <f t="shared" ref="O51:Q51" si="29">O49+O50</f>
        <v>11614</v>
      </c>
      <c r="P51" s="49">
        <f t="shared" si="29"/>
        <v>9237</v>
      </c>
      <c r="Q51" s="49">
        <f t="shared" si="29"/>
        <v>-712</v>
      </c>
      <c r="R51" s="49">
        <f t="shared" si="23"/>
        <v>31404</v>
      </c>
      <c r="S51" s="49">
        <f>S49+S50</f>
        <v>0</v>
      </c>
      <c r="T51" s="49">
        <f t="shared" si="21"/>
        <v>31404</v>
      </c>
    </row>
    <row r="52" spans="2:20" ht="11.1" customHeight="1" x14ac:dyDescent="0.2">
      <c r="B52" s="48" t="s">
        <v>193</v>
      </c>
      <c r="C52" s="72"/>
      <c r="D52" s="48"/>
      <c r="E52" s="48"/>
      <c r="F52" s="48"/>
      <c r="G52" s="48"/>
      <c r="H52" s="48"/>
      <c r="I52" s="48"/>
      <c r="J52" s="79"/>
      <c r="L52" s="48" t="s">
        <v>193</v>
      </c>
      <c r="M52" s="72"/>
      <c r="N52" s="48"/>
      <c r="O52" s="48"/>
      <c r="P52" s="48"/>
      <c r="Q52" s="48"/>
      <c r="R52" s="48"/>
      <c r="S52" s="48"/>
      <c r="T52" s="79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79"/>
      <c r="L53" s="48"/>
      <c r="M53" s="72"/>
      <c r="N53" s="48"/>
      <c r="O53" s="48"/>
      <c r="P53" s="48"/>
      <c r="Q53" s="48"/>
      <c r="R53" s="48"/>
      <c r="S53" s="48"/>
      <c r="T53" s="79"/>
    </row>
    <row r="54" spans="2:20" ht="11.1" customHeight="1" x14ac:dyDescent="0.2">
      <c r="B54" s="174" t="s">
        <v>59</v>
      </c>
      <c r="C54" s="247"/>
      <c r="D54" s="244" t="s">
        <v>194</v>
      </c>
      <c r="E54" s="244" t="s">
        <v>195</v>
      </c>
      <c r="F54" s="244" t="s">
        <v>196</v>
      </c>
      <c r="G54" s="244" t="s">
        <v>197</v>
      </c>
      <c r="H54" s="244" t="s">
        <v>198</v>
      </c>
      <c r="I54" s="244" t="s">
        <v>199</v>
      </c>
      <c r="J54" s="244" t="s">
        <v>200</v>
      </c>
      <c r="L54" s="174" t="s">
        <v>59</v>
      </c>
      <c r="M54" s="247"/>
      <c r="N54" s="244" t="s">
        <v>194</v>
      </c>
      <c r="O54" s="244" t="s">
        <v>195</v>
      </c>
      <c r="P54" s="244" t="s">
        <v>196</v>
      </c>
      <c r="Q54" s="244" t="s">
        <v>197</v>
      </c>
      <c r="R54" s="244" t="s">
        <v>198</v>
      </c>
      <c r="S54" s="244" t="s">
        <v>199</v>
      </c>
      <c r="T54" s="244" t="s">
        <v>200</v>
      </c>
    </row>
    <row r="55" spans="2:20" ht="11.1" customHeight="1" x14ac:dyDescent="0.2">
      <c r="B55" s="248"/>
      <c r="C55" s="249"/>
      <c r="D55" s="245"/>
      <c r="E55" s="245"/>
      <c r="F55" s="245"/>
      <c r="G55" s="245"/>
      <c r="H55" s="245"/>
      <c r="I55" s="245"/>
      <c r="J55" s="246"/>
      <c r="L55" s="248"/>
      <c r="M55" s="249"/>
      <c r="N55" s="245"/>
      <c r="O55" s="245"/>
      <c r="P55" s="245"/>
      <c r="Q55" s="245"/>
      <c r="R55" s="245"/>
      <c r="S55" s="245"/>
      <c r="T55" s="246"/>
    </row>
    <row r="56" spans="2:20" ht="11.1" customHeight="1" x14ac:dyDescent="0.2">
      <c r="B56" s="250" t="s">
        <v>217</v>
      </c>
      <c r="C56" s="251"/>
      <c r="D56" s="251"/>
      <c r="E56" s="251"/>
      <c r="F56" s="251"/>
      <c r="G56" s="251"/>
      <c r="H56" s="73"/>
      <c r="I56" s="73"/>
      <c r="J56" s="80"/>
      <c r="L56" s="250" t="s">
        <v>218</v>
      </c>
      <c r="M56" s="251"/>
      <c r="N56" s="251"/>
      <c r="O56" s="251"/>
      <c r="P56" s="251"/>
      <c r="Q56" s="251"/>
      <c r="R56" s="73"/>
      <c r="S56" s="73"/>
      <c r="T56" s="80"/>
    </row>
    <row r="57" spans="2:20" ht="11.1" customHeight="1" x14ac:dyDescent="0.2">
      <c r="B57" s="241" t="s">
        <v>202</v>
      </c>
      <c r="C57" s="241"/>
      <c r="D57" s="52">
        <v>377271</v>
      </c>
      <c r="E57" s="52">
        <v>243547</v>
      </c>
      <c r="F57" s="52">
        <v>256775</v>
      </c>
      <c r="G57" s="52"/>
      <c r="H57" s="52">
        <f t="shared" ref="H57:H68" si="30">SUM(D57:G57)</f>
        <v>877593</v>
      </c>
      <c r="I57" s="52"/>
      <c r="J57" s="52">
        <f>H57+I57</f>
        <v>877593</v>
      </c>
      <c r="L57" s="241" t="s">
        <v>202</v>
      </c>
      <c r="M57" s="241"/>
      <c r="N57" s="52">
        <f t="shared" ref="N57:Q58" si="31">D57-D40</f>
        <v>97657</v>
      </c>
      <c r="O57" s="52">
        <f t="shared" si="31"/>
        <v>69001</v>
      </c>
      <c r="P57" s="52">
        <f t="shared" si="31"/>
        <v>67179</v>
      </c>
      <c r="Q57" s="52">
        <f t="shared" si="31"/>
        <v>0</v>
      </c>
      <c r="R57" s="52">
        <f>SUM(N57:Q57)</f>
        <v>233837</v>
      </c>
      <c r="S57" s="52">
        <f>I57-I40</f>
        <v>0</v>
      </c>
      <c r="T57" s="52">
        <f t="shared" ref="T57:T68" si="32">R57+S57</f>
        <v>233837</v>
      </c>
    </row>
    <row r="58" spans="2:20" ht="11.1" customHeight="1" x14ac:dyDescent="0.2">
      <c r="B58" s="241" t="s">
        <v>33</v>
      </c>
      <c r="C58" s="241"/>
      <c r="D58" s="52">
        <v>281978</v>
      </c>
      <c r="E58" s="52">
        <v>186067</v>
      </c>
      <c r="F58" s="52">
        <v>171786</v>
      </c>
      <c r="G58" s="52"/>
      <c r="H58" s="52">
        <f t="shared" si="30"/>
        <v>639831</v>
      </c>
      <c r="I58" s="52"/>
      <c r="J58" s="52">
        <f t="shared" ref="J58:J68" si="33">H58+I58</f>
        <v>639831</v>
      </c>
      <c r="L58" s="241" t="s">
        <v>33</v>
      </c>
      <c r="M58" s="241"/>
      <c r="N58" s="52">
        <f t="shared" si="31"/>
        <v>79754</v>
      </c>
      <c r="O58" s="52">
        <f t="shared" si="31"/>
        <v>51429</v>
      </c>
      <c r="P58" s="52">
        <f t="shared" si="31"/>
        <v>51305</v>
      </c>
      <c r="Q58" s="52">
        <f t="shared" si="31"/>
        <v>0</v>
      </c>
      <c r="R58" s="52">
        <f t="shared" ref="R58:R68" si="34">SUM(N58:Q58)</f>
        <v>182488</v>
      </c>
      <c r="S58" s="52">
        <f>I58-I41</f>
        <v>0</v>
      </c>
      <c r="T58" s="52">
        <f t="shared" si="32"/>
        <v>182488</v>
      </c>
    </row>
    <row r="59" spans="2:20" ht="11.1" customHeight="1" x14ac:dyDescent="0.2">
      <c r="B59" s="238" t="s">
        <v>203</v>
      </c>
      <c r="C59" s="238"/>
      <c r="D59" s="49">
        <f>D57-D58</f>
        <v>95293</v>
      </c>
      <c r="E59" s="49">
        <f>E57-E58</f>
        <v>57480</v>
      </c>
      <c r="F59" s="49">
        <f>F57-F58</f>
        <v>84989</v>
      </c>
      <c r="G59" s="49">
        <f>G57-G58</f>
        <v>0</v>
      </c>
      <c r="H59" s="49">
        <f t="shared" si="30"/>
        <v>237762</v>
      </c>
      <c r="I59" s="49">
        <f>I57-I58</f>
        <v>0</v>
      </c>
      <c r="J59" s="49">
        <f t="shared" si="33"/>
        <v>237762</v>
      </c>
      <c r="L59" s="238" t="s">
        <v>203</v>
      </c>
      <c r="M59" s="238"/>
      <c r="N59" s="49">
        <f>N57-N58</f>
        <v>17903</v>
      </c>
      <c r="O59" s="49">
        <f>O57-O58</f>
        <v>17572</v>
      </c>
      <c r="P59" s="49">
        <f>P57-P58</f>
        <v>15874</v>
      </c>
      <c r="Q59" s="49">
        <f>Q57-Q58</f>
        <v>0</v>
      </c>
      <c r="R59" s="49">
        <f t="shared" si="34"/>
        <v>51349</v>
      </c>
      <c r="S59" s="49">
        <f>S57-S58</f>
        <v>0</v>
      </c>
      <c r="T59" s="49">
        <f t="shared" si="32"/>
        <v>51349</v>
      </c>
    </row>
    <row r="60" spans="2:20" ht="11.1" customHeight="1" x14ac:dyDescent="0.2">
      <c r="B60" s="171" t="s">
        <v>4</v>
      </c>
      <c r="C60" s="172"/>
      <c r="D60" s="52">
        <v>16461</v>
      </c>
      <c r="E60" s="52">
        <v>6418</v>
      </c>
      <c r="F60" s="52">
        <v>16518</v>
      </c>
      <c r="G60" s="52">
        <v>357</v>
      </c>
      <c r="H60" s="52">
        <f t="shared" si="30"/>
        <v>39754</v>
      </c>
      <c r="I60" s="52"/>
      <c r="J60" s="52">
        <f t="shared" si="33"/>
        <v>39754</v>
      </c>
      <c r="L60" s="171" t="s">
        <v>4</v>
      </c>
      <c r="M60" s="172"/>
      <c r="N60" s="52">
        <f t="shared" ref="N60:Q61" si="35">D60-D43</f>
        <v>4089</v>
      </c>
      <c r="O60" s="52">
        <f t="shared" si="35"/>
        <v>1980</v>
      </c>
      <c r="P60" s="52">
        <f t="shared" si="35"/>
        <v>4897</v>
      </c>
      <c r="Q60" s="52">
        <f t="shared" si="35"/>
        <v>74</v>
      </c>
      <c r="R60" s="52">
        <f t="shared" si="34"/>
        <v>11040</v>
      </c>
      <c r="S60" s="52">
        <f>I60-I43</f>
        <v>0</v>
      </c>
      <c r="T60" s="52">
        <f t="shared" si="32"/>
        <v>11040</v>
      </c>
    </row>
    <row r="61" spans="2:20" ht="11.1" customHeight="1" x14ac:dyDescent="0.2">
      <c r="B61" s="171" t="s">
        <v>5</v>
      </c>
      <c r="C61" s="172"/>
      <c r="D61" s="52">
        <v>56443</v>
      </c>
      <c r="E61" s="52">
        <v>24813</v>
      </c>
      <c r="F61" s="52">
        <v>39408</v>
      </c>
      <c r="G61" s="52">
        <v>2810</v>
      </c>
      <c r="H61" s="52">
        <f t="shared" si="30"/>
        <v>123474</v>
      </c>
      <c r="I61" s="52"/>
      <c r="J61" s="52">
        <f t="shared" si="33"/>
        <v>123474</v>
      </c>
      <c r="L61" s="171" t="s">
        <v>5</v>
      </c>
      <c r="M61" s="172"/>
      <c r="N61" s="52">
        <f t="shared" si="35"/>
        <v>13479</v>
      </c>
      <c r="O61" s="52">
        <f t="shared" si="35"/>
        <v>6205</v>
      </c>
      <c r="P61" s="52">
        <f t="shared" si="35"/>
        <v>9746</v>
      </c>
      <c r="Q61" s="52">
        <f t="shared" si="35"/>
        <v>647</v>
      </c>
      <c r="R61" s="52">
        <f t="shared" si="34"/>
        <v>30077</v>
      </c>
      <c r="S61" s="52">
        <f>I61-I44</f>
        <v>0</v>
      </c>
      <c r="T61" s="52">
        <f t="shared" si="32"/>
        <v>30077</v>
      </c>
    </row>
    <row r="62" spans="2:20" ht="11.1" customHeight="1" x14ac:dyDescent="0.2">
      <c r="B62" s="238" t="s">
        <v>204</v>
      </c>
      <c r="C62" s="238"/>
      <c r="D62" s="49">
        <f>D59-D60-D61</f>
        <v>22389</v>
      </c>
      <c r="E62" s="49">
        <f>E59-E60-E61</f>
        <v>26249</v>
      </c>
      <c r="F62" s="49">
        <f>F59-F60-F61</f>
        <v>29063</v>
      </c>
      <c r="G62" s="49">
        <f>G59-G60-G61</f>
        <v>-3167</v>
      </c>
      <c r="H62" s="49">
        <f t="shared" si="30"/>
        <v>74534</v>
      </c>
      <c r="I62" s="49">
        <f>I59-I60-I61</f>
        <v>0</v>
      </c>
      <c r="J62" s="49">
        <f t="shared" si="33"/>
        <v>74534</v>
      </c>
      <c r="L62" s="238" t="s">
        <v>204</v>
      </c>
      <c r="M62" s="238"/>
      <c r="N62" s="49">
        <f>N59-N60-N61</f>
        <v>335</v>
      </c>
      <c r="O62" s="49">
        <f>O59-O60-O61</f>
        <v>9387</v>
      </c>
      <c r="P62" s="49">
        <f>P59-P60-P61</f>
        <v>1231</v>
      </c>
      <c r="Q62" s="49">
        <f>Q59-Q60-Q61</f>
        <v>-721</v>
      </c>
      <c r="R62" s="49">
        <f t="shared" si="34"/>
        <v>10232</v>
      </c>
      <c r="S62" s="49">
        <f>S59-S60-S61</f>
        <v>0</v>
      </c>
      <c r="T62" s="49">
        <f t="shared" si="32"/>
        <v>10232</v>
      </c>
    </row>
    <row r="63" spans="2:20" ht="11.1" customHeight="1" x14ac:dyDescent="0.2">
      <c r="B63" s="171" t="s">
        <v>205</v>
      </c>
      <c r="C63" s="172"/>
      <c r="D63" s="52">
        <v>1044</v>
      </c>
      <c r="E63" s="52">
        <v>1964</v>
      </c>
      <c r="F63" s="52">
        <v>-2518</v>
      </c>
      <c r="G63" s="52">
        <v>0</v>
      </c>
      <c r="H63" s="52">
        <f t="shared" si="30"/>
        <v>490</v>
      </c>
      <c r="I63" s="52">
        <v>0</v>
      </c>
      <c r="J63" s="52">
        <f t="shared" si="33"/>
        <v>490</v>
      </c>
      <c r="L63" s="171" t="s">
        <v>205</v>
      </c>
      <c r="M63" s="172"/>
      <c r="N63" s="52">
        <f t="shared" ref="N63:Q65" si="36">D63-D46</f>
        <v>5666</v>
      </c>
      <c r="O63" s="52">
        <f t="shared" si="36"/>
        <v>167</v>
      </c>
      <c r="P63" s="52">
        <f t="shared" si="36"/>
        <v>-476</v>
      </c>
      <c r="Q63" s="52">
        <f t="shared" si="36"/>
        <v>0</v>
      </c>
      <c r="R63" s="52">
        <f t="shared" si="34"/>
        <v>5357</v>
      </c>
      <c r="S63" s="52">
        <f>I63-I46</f>
        <v>0</v>
      </c>
      <c r="T63" s="52">
        <f t="shared" si="32"/>
        <v>5357</v>
      </c>
    </row>
    <row r="64" spans="2:20" ht="11.1" customHeight="1" x14ac:dyDescent="0.2">
      <c r="B64" s="180" t="s">
        <v>206</v>
      </c>
      <c r="C64" s="172"/>
      <c r="D64" s="52">
        <v>0</v>
      </c>
      <c r="E64" s="52">
        <v>-277</v>
      </c>
      <c r="F64" s="52">
        <v>1670</v>
      </c>
      <c r="G64" s="52">
        <v>0</v>
      </c>
      <c r="H64" s="52">
        <f t="shared" si="30"/>
        <v>1393</v>
      </c>
      <c r="I64" s="52"/>
      <c r="J64" s="52">
        <f t="shared" si="33"/>
        <v>1393</v>
      </c>
      <c r="L64" s="180" t="s">
        <v>206</v>
      </c>
      <c r="M64" s="172"/>
      <c r="N64" s="52">
        <f t="shared" si="36"/>
        <v>0</v>
      </c>
      <c r="O64" s="52">
        <f t="shared" si="36"/>
        <v>-277</v>
      </c>
      <c r="P64" s="52">
        <f t="shared" si="36"/>
        <v>504</v>
      </c>
      <c r="Q64" s="52">
        <f t="shared" si="36"/>
        <v>0</v>
      </c>
      <c r="R64" s="52">
        <f t="shared" si="34"/>
        <v>227</v>
      </c>
      <c r="S64" s="52">
        <f>I64-I47</f>
        <v>0</v>
      </c>
      <c r="T64" s="52">
        <f t="shared" si="32"/>
        <v>227</v>
      </c>
    </row>
    <row r="65" spans="2:20" ht="11.1" customHeight="1" x14ac:dyDescent="0.2">
      <c r="B65" s="180" t="s">
        <v>27</v>
      </c>
      <c r="C65" s="172"/>
      <c r="D65" s="52"/>
      <c r="E65" s="52"/>
      <c r="F65" s="52"/>
      <c r="G65" s="52"/>
      <c r="H65" s="52">
        <f t="shared" si="30"/>
        <v>0</v>
      </c>
      <c r="I65" s="52">
        <v>0</v>
      </c>
      <c r="J65" s="52">
        <f t="shared" si="33"/>
        <v>0</v>
      </c>
      <c r="L65" s="180" t="s">
        <v>27</v>
      </c>
      <c r="M65" s="172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38" t="s">
        <v>207</v>
      </c>
      <c r="C66" s="238"/>
      <c r="D66" s="49">
        <f>D62+D63+D64+D65</f>
        <v>23433</v>
      </c>
      <c r="E66" s="49">
        <f>E62+E63+E64+E65</f>
        <v>27936</v>
      </c>
      <c r="F66" s="49">
        <f>F62+F63+F64+F65</f>
        <v>28215</v>
      </c>
      <c r="G66" s="49">
        <f>G62+G63+G64+G65</f>
        <v>-3167</v>
      </c>
      <c r="H66" s="49">
        <f t="shared" si="30"/>
        <v>76417</v>
      </c>
      <c r="I66" s="49">
        <f>I62+I63+I65</f>
        <v>0</v>
      </c>
      <c r="J66" s="49">
        <f>H66+I66</f>
        <v>76417</v>
      </c>
      <c r="L66" s="238" t="s">
        <v>207</v>
      </c>
      <c r="M66" s="238"/>
      <c r="N66" s="49">
        <f t="shared" ref="N66:Q66" si="37">N62+N63+N64+N65</f>
        <v>6001</v>
      </c>
      <c r="O66" s="49">
        <f t="shared" si="37"/>
        <v>9277</v>
      </c>
      <c r="P66" s="49">
        <f t="shared" si="37"/>
        <v>1259</v>
      </c>
      <c r="Q66" s="49">
        <f t="shared" si="37"/>
        <v>-721</v>
      </c>
      <c r="R66" s="49">
        <f t="shared" si="34"/>
        <v>15816</v>
      </c>
      <c r="S66" s="49">
        <f>S62+S63+S65</f>
        <v>0</v>
      </c>
      <c r="T66" s="49">
        <f t="shared" si="32"/>
        <v>15816</v>
      </c>
    </row>
    <row r="67" spans="2:20" ht="11.1" customHeight="1" x14ac:dyDescent="0.2">
      <c r="B67" s="75" t="s">
        <v>22</v>
      </c>
      <c r="C67" s="76"/>
      <c r="D67" s="49">
        <v>24950</v>
      </c>
      <c r="E67" s="49">
        <v>15415</v>
      </c>
      <c r="F67" s="49">
        <v>9506</v>
      </c>
      <c r="G67" s="49">
        <v>0</v>
      </c>
      <c r="H67" s="49">
        <f t="shared" si="30"/>
        <v>49871</v>
      </c>
      <c r="I67" s="49">
        <v>0</v>
      </c>
      <c r="J67" s="49">
        <f t="shared" si="33"/>
        <v>49871</v>
      </c>
      <c r="L67" s="75" t="s">
        <v>22</v>
      </c>
      <c r="M67" s="76"/>
      <c r="N67" s="49">
        <f>D67-D50</f>
        <v>6426</v>
      </c>
      <c r="O67" s="49">
        <f>E67-E50</f>
        <v>3718</v>
      </c>
      <c r="P67" s="49">
        <f>F67-F50</f>
        <v>2695</v>
      </c>
      <c r="Q67" s="49">
        <f>G67-G50</f>
        <v>0</v>
      </c>
      <c r="R67" s="49">
        <f t="shared" si="34"/>
        <v>12839</v>
      </c>
      <c r="S67" s="49">
        <f>I67-I50</f>
        <v>0</v>
      </c>
      <c r="T67" s="49">
        <f t="shared" si="32"/>
        <v>12839</v>
      </c>
    </row>
    <row r="68" spans="2:20" ht="11.1" customHeight="1" x14ac:dyDescent="0.2">
      <c r="B68" s="239" t="s">
        <v>23</v>
      </c>
      <c r="C68" s="240"/>
      <c r="D68" s="49">
        <f>D66+D67</f>
        <v>48383</v>
      </c>
      <c r="E68" s="49">
        <f t="shared" ref="E68:G68" si="38">E66+E67</f>
        <v>43351</v>
      </c>
      <c r="F68" s="49">
        <f t="shared" si="38"/>
        <v>37721</v>
      </c>
      <c r="G68" s="49">
        <f t="shared" si="38"/>
        <v>-3167</v>
      </c>
      <c r="H68" s="49">
        <f t="shared" si="30"/>
        <v>126288</v>
      </c>
      <c r="I68" s="49">
        <f>I66+I67</f>
        <v>0</v>
      </c>
      <c r="J68" s="49">
        <f t="shared" si="33"/>
        <v>126288</v>
      </c>
      <c r="L68" s="239" t="s">
        <v>23</v>
      </c>
      <c r="M68" s="240"/>
      <c r="N68" s="49">
        <f>N66+N67</f>
        <v>12427</v>
      </c>
      <c r="O68" s="49">
        <f t="shared" ref="O68:Q68" si="39">O66+O67</f>
        <v>12995</v>
      </c>
      <c r="P68" s="49">
        <f t="shared" si="39"/>
        <v>3954</v>
      </c>
      <c r="Q68" s="49">
        <f t="shared" si="39"/>
        <v>-721</v>
      </c>
      <c r="R68" s="49">
        <f t="shared" si="34"/>
        <v>28655</v>
      </c>
      <c r="S68" s="49">
        <f>S66+S67</f>
        <v>0</v>
      </c>
      <c r="T68" s="49">
        <f t="shared" si="32"/>
        <v>28655</v>
      </c>
    </row>
  </sheetData>
  <mergeCells count="160"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Q54:Q55"/>
    <mergeCell ref="R54:R55"/>
    <mergeCell ref="S54:S55"/>
    <mergeCell ref="T54:T55"/>
    <mergeCell ref="B56:G56"/>
    <mergeCell ref="L56:Q56"/>
    <mergeCell ref="I54:I55"/>
    <mergeCell ref="J54:J55"/>
    <mergeCell ref="L54:M55"/>
    <mergeCell ref="N54:N55"/>
    <mergeCell ref="O54:O55"/>
    <mergeCell ref="P54:P55"/>
    <mergeCell ref="B54:C55"/>
    <mergeCell ref="D54:D55"/>
    <mergeCell ref="E54:E55"/>
    <mergeCell ref="F54:F55"/>
    <mergeCell ref="G54:G55"/>
    <mergeCell ref="H54:H55"/>
    <mergeCell ref="B49:C49"/>
    <mergeCell ref="L49:M49"/>
    <mergeCell ref="B51:C51"/>
    <mergeCell ref="L51:M51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0:C40"/>
    <mergeCell ref="L40:M40"/>
    <mergeCell ref="B41:C41"/>
    <mergeCell ref="L41:M41"/>
    <mergeCell ref="B42:C42"/>
    <mergeCell ref="L42:M42"/>
    <mergeCell ref="Q37:Q38"/>
    <mergeCell ref="R37:R38"/>
    <mergeCell ref="S37:S38"/>
    <mergeCell ref="T37:T38"/>
    <mergeCell ref="B39:G39"/>
    <mergeCell ref="L39:Q39"/>
    <mergeCell ref="I37:I38"/>
    <mergeCell ref="J37:J38"/>
    <mergeCell ref="L37:M38"/>
    <mergeCell ref="N37:N38"/>
    <mergeCell ref="O37:O38"/>
    <mergeCell ref="P37:P38"/>
    <mergeCell ref="B37:C38"/>
    <mergeCell ref="D37:D38"/>
    <mergeCell ref="E37:E38"/>
    <mergeCell ref="F37:F38"/>
    <mergeCell ref="G37:G38"/>
    <mergeCell ref="H37:H38"/>
    <mergeCell ref="B32:C32"/>
    <mergeCell ref="L32:M32"/>
    <mergeCell ref="B34:C34"/>
    <mergeCell ref="L34:M34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23:C23"/>
    <mergeCell ref="L23:M23"/>
    <mergeCell ref="B24:C24"/>
    <mergeCell ref="L24:M24"/>
    <mergeCell ref="B25:C25"/>
    <mergeCell ref="L25:M25"/>
    <mergeCell ref="Q20:Q21"/>
    <mergeCell ref="R20:R21"/>
    <mergeCell ref="S20:S21"/>
    <mergeCell ref="T20:T21"/>
    <mergeCell ref="B22:G22"/>
    <mergeCell ref="L22:Q22"/>
    <mergeCell ref="I20:I21"/>
    <mergeCell ref="J20:J21"/>
    <mergeCell ref="L20:M21"/>
    <mergeCell ref="N20:N21"/>
    <mergeCell ref="O20:O21"/>
    <mergeCell ref="P20:P21"/>
    <mergeCell ref="B20:C21"/>
    <mergeCell ref="D20:D21"/>
    <mergeCell ref="E20:E21"/>
    <mergeCell ref="F20:F21"/>
    <mergeCell ref="G20:G21"/>
    <mergeCell ref="H20:H21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L6:M6"/>
    <mergeCell ref="B7:C7"/>
    <mergeCell ref="L7:M7"/>
    <mergeCell ref="B8:C8"/>
    <mergeCell ref="L8:M8"/>
    <mergeCell ref="Q3:Q4"/>
    <mergeCell ref="R3:R4"/>
    <mergeCell ref="S3:S4"/>
    <mergeCell ref="T3:T4"/>
    <mergeCell ref="B5:G5"/>
    <mergeCell ref="L5:Q5"/>
    <mergeCell ref="I3:I4"/>
    <mergeCell ref="J3:J4"/>
    <mergeCell ref="L3:M4"/>
    <mergeCell ref="N3:N4"/>
    <mergeCell ref="O3:O4"/>
    <mergeCell ref="P3:P4"/>
    <mergeCell ref="B3:C4"/>
    <mergeCell ref="D3:D4"/>
    <mergeCell ref="E3:E4"/>
    <mergeCell ref="F3:F4"/>
    <mergeCell ref="G3:G4"/>
    <mergeCell ref="H3:H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B298-AB5A-49EE-8F0E-8BAB86C330C8}">
  <dimension ref="B1:T119"/>
  <sheetViews>
    <sheetView zoomScaleNormal="100" zoomScaleSheetLayoutView="100" workbookViewId="0">
      <pane xSplit="3" ySplit="1" topLeftCell="D5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N78" sqref="N78"/>
    </sheetView>
  </sheetViews>
  <sheetFormatPr defaultColWidth="9.140625" defaultRowHeight="11.1" customHeight="1" x14ac:dyDescent="0.2"/>
  <cols>
    <col min="1" max="1" width="3.710937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174" t="s">
        <v>59</v>
      </c>
      <c r="C2" s="252"/>
      <c r="D2" s="244" t="s">
        <v>194</v>
      </c>
      <c r="E2" s="244" t="s">
        <v>195</v>
      </c>
      <c r="F2" s="244" t="s">
        <v>196</v>
      </c>
      <c r="G2" s="244" t="s">
        <v>197</v>
      </c>
      <c r="H2" s="244" t="s">
        <v>198</v>
      </c>
      <c r="I2" s="244" t="s">
        <v>199</v>
      </c>
      <c r="J2" s="244" t="s">
        <v>200</v>
      </c>
      <c r="K2" s="47"/>
      <c r="L2" s="174" t="s">
        <v>59</v>
      </c>
      <c r="M2" s="252"/>
      <c r="N2" s="244" t="s">
        <v>194</v>
      </c>
      <c r="O2" s="244" t="s">
        <v>195</v>
      </c>
      <c r="P2" s="244" t="s">
        <v>196</v>
      </c>
      <c r="Q2" s="244" t="s">
        <v>197</v>
      </c>
      <c r="R2" s="244" t="s">
        <v>198</v>
      </c>
      <c r="S2" s="244" t="s">
        <v>199</v>
      </c>
      <c r="T2" s="244" t="s">
        <v>200</v>
      </c>
    </row>
    <row r="3" spans="2:20" ht="11.1" customHeight="1" x14ac:dyDescent="0.2">
      <c r="B3" s="253"/>
      <c r="C3" s="254"/>
      <c r="D3" s="245"/>
      <c r="E3" s="245"/>
      <c r="F3" s="245"/>
      <c r="G3" s="245"/>
      <c r="H3" s="245"/>
      <c r="I3" s="245"/>
      <c r="J3" s="245"/>
      <c r="K3" s="47"/>
      <c r="L3" s="253"/>
      <c r="M3" s="254"/>
      <c r="N3" s="245"/>
      <c r="O3" s="245"/>
      <c r="P3" s="245"/>
      <c r="Q3" s="245"/>
      <c r="R3" s="245"/>
      <c r="S3" s="245"/>
      <c r="T3" s="245"/>
    </row>
    <row r="4" spans="2:20" ht="11.1" customHeight="1" x14ac:dyDescent="0.2">
      <c r="B4" s="250" t="s">
        <v>221</v>
      </c>
      <c r="C4" s="251"/>
      <c r="D4" s="251"/>
      <c r="E4" s="251"/>
      <c r="F4" s="251"/>
      <c r="G4" s="251"/>
      <c r="H4" s="73"/>
      <c r="I4" s="73"/>
      <c r="J4" s="74"/>
      <c r="K4" s="47"/>
      <c r="L4" s="250" t="s">
        <v>221</v>
      </c>
      <c r="M4" s="251"/>
      <c r="N4" s="251"/>
      <c r="O4" s="251"/>
      <c r="P4" s="251"/>
      <c r="Q4" s="251"/>
      <c r="R4" s="73"/>
      <c r="S4" s="73"/>
      <c r="T4" s="74"/>
    </row>
    <row r="5" spans="2:20" ht="11.1" customHeight="1" x14ac:dyDescent="0.2">
      <c r="B5" s="178" t="s">
        <v>202</v>
      </c>
      <c r="C5" s="179"/>
      <c r="D5" s="52">
        <v>83961</v>
      </c>
      <c r="E5" s="52">
        <v>80276</v>
      </c>
      <c r="F5" s="52">
        <v>60299</v>
      </c>
      <c r="G5" s="52"/>
      <c r="H5" s="52">
        <f>SUM(D5:G5)</f>
        <v>224536</v>
      </c>
      <c r="I5" s="52"/>
      <c r="J5" s="52">
        <f t="shared" ref="J5:J16" si="0">H5+I5</f>
        <v>224536</v>
      </c>
      <c r="K5" s="47"/>
      <c r="L5" s="178" t="s">
        <v>202</v>
      </c>
      <c r="M5" s="179"/>
      <c r="N5" s="52">
        <v>83961</v>
      </c>
      <c r="O5" s="52">
        <v>80276</v>
      </c>
      <c r="P5" s="52">
        <v>60299</v>
      </c>
      <c r="Q5" s="52"/>
      <c r="R5" s="52">
        <f>SUM(N5:Q5)</f>
        <v>224536</v>
      </c>
      <c r="S5" s="52"/>
      <c r="T5" s="52">
        <f t="shared" ref="T5:T16" si="1">R5+S5</f>
        <v>224536</v>
      </c>
    </row>
    <row r="6" spans="2:20" ht="11.1" customHeight="1" x14ac:dyDescent="0.2">
      <c r="B6" s="178" t="s">
        <v>33</v>
      </c>
      <c r="C6" s="179"/>
      <c r="D6" s="52">
        <v>61397</v>
      </c>
      <c r="E6" s="52">
        <v>59860</v>
      </c>
      <c r="F6" s="52">
        <v>40261</v>
      </c>
      <c r="G6" s="52"/>
      <c r="H6" s="52">
        <f t="shared" ref="H6:H16" si="2">SUM(D6:G6)</f>
        <v>161518</v>
      </c>
      <c r="I6" s="52"/>
      <c r="J6" s="52">
        <f t="shared" si="0"/>
        <v>161518</v>
      </c>
      <c r="K6" s="47"/>
      <c r="L6" s="178" t="s">
        <v>33</v>
      </c>
      <c r="M6" s="179"/>
      <c r="N6" s="52">
        <v>61397</v>
      </c>
      <c r="O6" s="52">
        <v>59860</v>
      </c>
      <c r="P6" s="52">
        <v>40261</v>
      </c>
      <c r="Q6" s="52"/>
      <c r="R6" s="52">
        <f t="shared" ref="R6:R16" si="3">SUM(N6:Q6)</f>
        <v>161518</v>
      </c>
      <c r="S6" s="52"/>
      <c r="T6" s="52">
        <f t="shared" si="1"/>
        <v>161518</v>
      </c>
    </row>
    <row r="7" spans="2:20" ht="11.1" customHeight="1" x14ac:dyDescent="0.2">
      <c r="B7" s="239" t="s">
        <v>203</v>
      </c>
      <c r="C7" s="240"/>
      <c r="D7" s="49">
        <f>D5-D6</f>
        <v>22564</v>
      </c>
      <c r="E7" s="49">
        <f>E5-E6</f>
        <v>20416</v>
      </c>
      <c r="F7" s="49">
        <f>F5-F6</f>
        <v>20038</v>
      </c>
      <c r="G7" s="49">
        <f>G5-G6</f>
        <v>0</v>
      </c>
      <c r="H7" s="49">
        <f t="shared" si="2"/>
        <v>63018</v>
      </c>
      <c r="I7" s="49">
        <f>I5-I6</f>
        <v>0</v>
      </c>
      <c r="J7" s="49">
        <f t="shared" si="0"/>
        <v>63018</v>
      </c>
      <c r="K7" s="47"/>
      <c r="L7" s="239" t="s">
        <v>203</v>
      </c>
      <c r="M7" s="240"/>
      <c r="N7" s="49">
        <f>N5-N6</f>
        <v>22564</v>
      </c>
      <c r="O7" s="49">
        <f>O5-O6</f>
        <v>20416</v>
      </c>
      <c r="P7" s="49">
        <f>P5-P6</f>
        <v>20038</v>
      </c>
      <c r="Q7" s="49">
        <f>Q5-Q6</f>
        <v>0</v>
      </c>
      <c r="R7" s="49">
        <f t="shared" si="3"/>
        <v>63018</v>
      </c>
      <c r="S7" s="49">
        <f>S5-S6</f>
        <v>0</v>
      </c>
      <c r="T7" s="49">
        <f t="shared" si="1"/>
        <v>63018</v>
      </c>
    </row>
    <row r="8" spans="2:20" ht="11.1" customHeight="1" x14ac:dyDescent="0.2">
      <c r="B8" s="171" t="s">
        <v>4</v>
      </c>
      <c r="C8" s="172"/>
      <c r="D8" s="52">
        <v>3695</v>
      </c>
      <c r="E8" s="52">
        <v>1614</v>
      </c>
      <c r="F8" s="52">
        <v>3562</v>
      </c>
      <c r="G8" s="52">
        <v>172</v>
      </c>
      <c r="H8" s="52">
        <f t="shared" si="2"/>
        <v>9043</v>
      </c>
      <c r="I8" s="52"/>
      <c r="J8" s="52">
        <f t="shared" si="0"/>
        <v>9043</v>
      </c>
      <c r="K8" s="47"/>
      <c r="L8" s="171" t="s">
        <v>4</v>
      </c>
      <c r="M8" s="172"/>
      <c r="N8" s="52">
        <v>3695</v>
      </c>
      <c r="O8" s="52">
        <v>1614</v>
      </c>
      <c r="P8" s="52">
        <v>3562</v>
      </c>
      <c r="Q8" s="52">
        <v>172</v>
      </c>
      <c r="R8" s="52">
        <f t="shared" si="3"/>
        <v>9043</v>
      </c>
      <c r="S8" s="52"/>
      <c r="T8" s="52">
        <f t="shared" si="1"/>
        <v>9043</v>
      </c>
    </row>
    <row r="9" spans="2:20" ht="11.1" customHeight="1" x14ac:dyDescent="0.2">
      <c r="B9" s="171" t="s">
        <v>5</v>
      </c>
      <c r="C9" s="172"/>
      <c r="D9" s="52">
        <v>13736</v>
      </c>
      <c r="E9" s="52">
        <v>7516</v>
      </c>
      <c r="F9" s="52">
        <v>10095</v>
      </c>
      <c r="G9" s="52">
        <v>1054</v>
      </c>
      <c r="H9" s="52">
        <f t="shared" si="2"/>
        <v>32401</v>
      </c>
      <c r="I9" s="52"/>
      <c r="J9" s="52">
        <f t="shared" si="0"/>
        <v>32401</v>
      </c>
      <c r="K9" s="47"/>
      <c r="L9" s="171" t="s">
        <v>5</v>
      </c>
      <c r="M9" s="172"/>
      <c r="N9" s="52">
        <v>13736</v>
      </c>
      <c r="O9" s="52">
        <v>7516</v>
      </c>
      <c r="P9" s="52">
        <v>10095</v>
      </c>
      <c r="Q9" s="52">
        <v>1054</v>
      </c>
      <c r="R9" s="52">
        <f t="shared" si="3"/>
        <v>32401</v>
      </c>
      <c r="S9" s="52"/>
      <c r="T9" s="52">
        <f t="shared" si="1"/>
        <v>32401</v>
      </c>
    </row>
    <row r="10" spans="2:20" ht="11.1" customHeight="1" x14ac:dyDescent="0.2">
      <c r="B10" s="239" t="s">
        <v>204</v>
      </c>
      <c r="C10" s="240"/>
      <c r="D10" s="49">
        <f>D7-D8-D9</f>
        <v>5133</v>
      </c>
      <c r="E10" s="49">
        <f>E7-E8-E9</f>
        <v>11286</v>
      </c>
      <c r="F10" s="49">
        <f>F7-F8-F9</f>
        <v>6381</v>
      </c>
      <c r="G10" s="49">
        <f>G7-G8-G9</f>
        <v>-1226</v>
      </c>
      <c r="H10" s="49">
        <f t="shared" si="2"/>
        <v>21574</v>
      </c>
      <c r="I10" s="49">
        <f>I7-I8-I9</f>
        <v>0</v>
      </c>
      <c r="J10" s="49">
        <f t="shared" si="0"/>
        <v>21574</v>
      </c>
      <c r="K10" s="47"/>
      <c r="L10" s="239" t="s">
        <v>204</v>
      </c>
      <c r="M10" s="240"/>
      <c r="N10" s="49">
        <f>N7-N8-N9</f>
        <v>5133</v>
      </c>
      <c r="O10" s="49">
        <f>O7-O8-O9</f>
        <v>11286</v>
      </c>
      <c r="P10" s="49">
        <f>P7-P8-P9</f>
        <v>6381</v>
      </c>
      <c r="Q10" s="49">
        <f>Q7-Q8-Q9</f>
        <v>-1226</v>
      </c>
      <c r="R10" s="49">
        <f t="shared" si="3"/>
        <v>21574</v>
      </c>
      <c r="S10" s="49">
        <f>S7-S8-S9</f>
        <v>0</v>
      </c>
      <c r="T10" s="49">
        <f t="shared" si="1"/>
        <v>21574</v>
      </c>
    </row>
    <row r="11" spans="2:20" ht="11.1" customHeight="1" x14ac:dyDescent="0.2">
      <c r="B11" s="171" t="s">
        <v>205</v>
      </c>
      <c r="C11" s="172"/>
      <c r="D11" s="52">
        <v>169</v>
      </c>
      <c r="E11" s="52">
        <v>-133</v>
      </c>
      <c r="F11" s="52">
        <v>-1220</v>
      </c>
      <c r="G11" s="52">
        <v>0</v>
      </c>
      <c r="H11" s="52">
        <f t="shared" si="2"/>
        <v>-1184</v>
      </c>
      <c r="I11" s="52">
        <v>0</v>
      </c>
      <c r="J11" s="52">
        <f t="shared" si="0"/>
        <v>-1184</v>
      </c>
      <c r="K11" s="47"/>
      <c r="L11" s="171" t="s">
        <v>205</v>
      </c>
      <c r="M11" s="172"/>
      <c r="N11" s="52">
        <v>169</v>
      </c>
      <c r="O11" s="52">
        <v>-133</v>
      </c>
      <c r="P11" s="52">
        <v>-1220</v>
      </c>
      <c r="Q11" s="52">
        <v>0</v>
      </c>
      <c r="R11" s="52">
        <f t="shared" si="3"/>
        <v>-1184</v>
      </c>
      <c r="S11" s="52">
        <v>0</v>
      </c>
      <c r="T11" s="52">
        <f t="shared" si="1"/>
        <v>-1184</v>
      </c>
    </row>
    <row r="12" spans="2:20" ht="11.1" customHeight="1" x14ac:dyDescent="0.2">
      <c r="B12" s="180" t="s">
        <v>206</v>
      </c>
      <c r="C12" s="181"/>
      <c r="D12" s="52">
        <v>0</v>
      </c>
      <c r="E12" s="52">
        <v>0</v>
      </c>
      <c r="F12" s="52">
        <v>-6</v>
      </c>
      <c r="G12" s="52">
        <v>0</v>
      </c>
      <c r="H12" s="52">
        <f t="shared" si="2"/>
        <v>-6</v>
      </c>
      <c r="I12" s="52"/>
      <c r="J12" s="52">
        <f t="shared" si="0"/>
        <v>-6</v>
      </c>
      <c r="K12" s="47"/>
      <c r="L12" s="180" t="s">
        <v>206</v>
      </c>
      <c r="M12" s="181"/>
      <c r="N12" s="52">
        <v>0</v>
      </c>
      <c r="O12" s="52">
        <v>0</v>
      </c>
      <c r="P12" s="52">
        <v>-6</v>
      </c>
      <c r="Q12" s="52">
        <v>0</v>
      </c>
      <c r="R12" s="52">
        <f t="shared" si="3"/>
        <v>-6</v>
      </c>
      <c r="S12" s="52"/>
      <c r="T12" s="52">
        <f t="shared" si="1"/>
        <v>-6</v>
      </c>
    </row>
    <row r="13" spans="2:20" ht="11.1" customHeight="1" x14ac:dyDescent="0.2">
      <c r="B13" s="180" t="s">
        <v>27</v>
      </c>
      <c r="C13" s="181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180" t="s">
        <v>27</v>
      </c>
      <c r="M13" s="181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39" t="s">
        <v>207</v>
      </c>
      <c r="C14" s="240"/>
      <c r="D14" s="49">
        <f t="shared" ref="D14:G14" si="4">D10+D11+D12+D13</f>
        <v>5302</v>
      </c>
      <c r="E14" s="49">
        <f t="shared" si="4"/>
        <v>11153</v>
      </c>
      <c r="F14" s="49">
        <f t="shared" si="4"/>
        <v>5155</v>
      </c>
      <c r="G14" s="49">
        <f t="shared" si="4"/>
        <v>-1226</v>
      </c>
      <c r="H14" s="49">
        <f t="shared" si="2"/>
        <v>20384</v>
      </c>
      <c r="I14" s="49">
        <f>I10+I11+I13</f>
        <v>0</v>
      </c>
      <c r="J14" s="49">
        <f t="shared" si="0"/>
        <v>20384</v>
      </c>
      <c r="K14" s="47"/>
      <c r="L14" s="239" t="s">
        <v>207</v>
      </c>
      <c r="M14" s="240"/>
      <c r="N14" s="49">
        <f t="shared" ref="N14:Q14" si="5">N10+N11+N12+N13</f>
        <v>5302</v>
      </c>
      <c r="O14" s="49">
        <f t="shared" si="5"/>
        <v>11153</v>
      </c>
      <c r="P14" s="49">
        <f t="shared" si="5"/>
        <v>5155</v>
      </c>
      <c r="Q14" s="49">
        <f t="shared" si="5"/>
        <v>-1226</v>
      </c>
      <c r="R14" s="49">
        <f t="shared" si="3"/>
        <v>20384</v>
      </c>
      <c r="S14" s="49">
        <f>S10+S11+S13</f>
        <v>0</v>
      </c>
      <c r="T14" s="49">
        <f t="shared" si="1"/>
        <v>20384</v>
      </c>
    </row>
    <row r="15" spans="2:20" ht="11.1" customHeight="1" x14ac:dyDescent="0.2">
      <c r="B15" s="75" t="s">
        <v>22</v>
      </c>
      <c r="C15" s="76"/>
      <c r="D15" s="49">
        <v>6469</v>
      </c>
      <c r="E15" s="49">
        <v>3751</v>
      </c>
      <c r="F15" s="49">
        <v>2569</v>
      </c>
      <c r="G15" s="49">
        <v>0</v>
      </c>
      <c r="H15" s="49">
        <f t="shared" si="2"/>
        <v>12789</v>
      </c>
      <c r="I15" s="49">
        <v>0</v>
      </c>
      <c r="J15" s="49">
        <f t="shared" si="0"/>
        <v>12789</v>
      </c>
      <c r="K15" s="47"/>
      <c r="L15" s="75" t="s">
        <v>22</v>
      </c>
      <c r="M15" s="76"/>
      <c r="N15" s="49">
        <v>6469</v>
      </c>
      <c r="O15" s="49">
        <v>3751</v>
      </c>
      <c r="P15" s="49">
        <v>2569</v>
      </c>
      <c r="Q15" s="49">
        <v>0</v>
      </c>
      <c r="R15" s="49">
        <f t="shared" si="3"/>
        <v>12789</v>
      </c>
      <c r="S15" s="49">
        <v>0</v>
      </c>
      <c r="T15" s="49">
        <f t="shared" si="1"/>
        <v>12789</v>
      </c>
    </row>
    <row r="16" spans="2:20" ht="11.1" customHeight="1" x14ac:dyDescent="0.2">
      <c r="B16" s="239" t="s">
        <v>23</v>
      </c>
      <c r="C16" s="240"/>
      <c r="D16" s="49">
        <f>D14+D15</f>
        <v>11771</v>
      </c>
      <c r="E16" s="49">
        <f t="shared" ref="E16:G16" si="6">E14+E15</f>
        <v>14904</v>
      </c>
      <c r="F16" s="49">
        <f t="shared" si="6"/>
        <v>7724</v>
      </c>
      <c r="G16" s="49">
        <f t="shared" si="6"/>
        <v>-1226</v>
      </c>
      <c r="H16" s="49">
        <f t="shared" si="2"/>
        <v>33173</v>
      </c>
      <c r="I16" s="49">
        <f t="shared" ref="I16" si="7">I14+I15</f>
        <v>0</v>
      </c>
      <c r="J16" s="49">
        <f t="shared" si="0"/>
        <v>33173</v>
      </c>
      <c r="K16" s="47"/>
      <c r="L16" s="239" t="s">
        <v>23</v>
      </c>
      <c r="M16" s="240"/>
      <c r="N16" s="49">
        <f>N14+N15</f>
        <v>11771</v>
      </c>
      <c r="O16" s="49">
        <f t="shared" ref="O16:Q16" si="8">O14+O15</f>
        <v>14904</v>
      </c>
      <c r="P16" s="49">
        <f t="shared" si="8"/>
        <v>7724</v>
      </c>
      <c r="Q16" s="49">
        <f t="shared" si="8"/>
        <v>-1226</v>
      </c>
      <c r="R16" s="49">
        <f t="shared" si="3"/>
        <v>33173</v>
      </c>
      <c r="S16" s="49">
        <f t="shared" ref="S16" si="9">S14+S15</f>
        <v>0</v>
      </c>
      <c r="T16" s="49">
        <f t="shared" si="1"/>
        <v>33173</v>
      </c>
    </row>
    <row r="17" spans="2:20" ht="11.1" customHeight="1" x14ac:dyDescent="0.2">
      <c r="B17" s="250" t="s">
        <v>201</v>
      </c>
      <c r="C17" s="251"/>
      <c r="D17" s="251"/>
      <c r="E17" s="251"/>
      <c r="F17" s="251"/>
      <c r="G17" s="251"/>
      <c r="H17" s="73"/>
      <c r="I17" s="73"/>
      <c r="J17" s="73"/>
      <c r="K17" s="47"/>
      <c r="L17" s="250" t="s">
        <v>201</v>
      </c>
      <c r="M17" s="251"/>
      <c r="N17" s="251"/>
      <c r="O17" s="251"/>
      <c r="P17" s="251"/>
      <c r="Q17" s="251"/>
      <c r="R17" s="73"/>
      <c r="S17" s="73"/>
      <c r="T17" s="73"/>
    </row>
    <row r="18" spans="2:20" ht="11.1" customHeight="1" x14ac:dyDescent="0.2">
      <c r="B18" s="178" t="s">
        <v>202</v>
      </c>
      <c r="C18" s="179"/>
      <c r="D18" s="52">
        <v>95083</v>
      </c>
      <c r="E18" s="52">
        <v>56702</v>
      </c>
      <c r="F18" s="52">
        <v>60694</v>
      </c>
      <c r="G18" s="52">
        <v>0</v>
      </c>
      <c r="H18" s="52">
        <f t="shared" ref="H18:H29" si="10">SUM(D18:G18)</f>
        <v>212479</v>
      </c>
      <c r="I18" s="52">
        <f t="shared" ref="I18:I29" si="11">SUM(D18:H18)</f>
        <v>424958</v>
      </c>
      <c r="J18" s="52">
        <f t="shared" ref="J18:J29" si="12">H18+I18</f>
        <v>637437</v>
      </c>
      <c r="K18" s="47"/>
      <c r="L18" s="178" t="s">
        <v>202</v>
      </c>
      <c r="M18" s="179"/>
      <c r="N18" s="52">
        <v>95083</v>
      </c>
      <c r="O18" s="52">
        <v>56702</v>
      </c>
      <c r="P18" s="52">
        <v>60694</v>
      </c>
      <c r="Q18" s="52">
        <v>0</v>
      </c>
      <c r="R18" s="52">
        <f t="shared" ref="R18:R29" si="13">SUM(N18:Q18)</f>
        <v>212479</v>
      </c>
      <c r="S18" s="52">
        <f t="shared" ref="S18:S29" si="14">SUM(N18:R18)</f>
        <v>424958</v>
      </c>
      <c r="T18" s="52">
        <f t="shared" ref="T18:T29" si="15">R18+S18</f>
        <v>637437</v>
      </c>
    </row>
    <row r="19" spans="2:20" ht="11.1" customHeight="1" x14ac:dyDescent="0.2">
      <c r="B19" s="178" t="s">
        <v>33</v>
      </c>
      <c r="C19" s="179"/>
      <c r="D19" s="52">
        <v>69117</v>
      </c>
      <c r="E19" s="52">
        <v>42503</v>
      </c>
      <c r="F19" s="52">
        <v>37488</v>
      </c>
      <c r="G19" s="52">
        <v>0</v>
      </c>
      <c r="H19" s="52">
        <f t="shared" si="10"/>
        <v>149108</v>
      </c>
      <c r="I19" s="52">
        <f t="shared" si="11"/>
        <v>298216</v>
      </c>
      <c r="J19" s="52">
        <f t="shared" si="12"/>
        <v>447324</v>
      </c>
      <c r="K19" s="47"/>
      <c r="L19" s="178" t="s">
        <v>33</v>
      </c>
      <c r="M19" s="179"/>
      <c r="N19" s="52">
        <v>69117</v>
      </c>
      <c r="O19" s="52">
        <v>42503</v>
      </c>
      <c r="P19" s="52">
        <v>37488</v>
      </c>
      <c r="Q19" s="52">
        <v>0</v>
      </c>
      <c r="R19" s="52">
        <f t="shared" si="13"/>
        <v>149108</v>
      </c>
      <c r="S19" s="52">
        <f t="shared" si="14"/>
        <v>298216</v>
      </c>
      <c r="T19" s="52">
        <f t="shared" si="15"/>
        <v>447324</v>
      </c>
    </row>
    <row r="20" spans="2:20" ht="11.1" customHeight="1" x14ac:dyDescent="0.2">
      <c r="B20" s="239" t="s">
        <v>203</v>
      </c>
      <c r="C20" s="240"/>
      <c r="D20" s="49">
        <f>D18-D19</f>
        <v>25966</v>
      </c>
      <c r="E20" s="49">
        <f>E18-E19</f>
        <v>14199</v>
      </c>
      <c r="F20" s="49">
        <f>F18-F19</f>
        <v>23206</v>
      </c>
      <c r="G20" s="49">
        <f>G18-G19</f>
        <v>0</v>
      </c>
      <c r="H20" s="49">
        <f t="shared" si="10"/>
        <v>63371</v>
      </c>
      <c r="I20" s="49">
        <f t="shared" si="11"/>
        <v>126742</v>
      </c>
      <c r="J20" s="49">
        <f t="shared" si="12"/>
        <v>190113</v>
      </c>
      <c r="K20" s="47"/>
      <c r="L20" s="239" t="s">
        <v>203</v>
      </c>
      <c r="M20" s="240"/>
      <c r="N20" s="49">
        <f>N18-N19</f>
        <v>25966</v>
      </c>
      <c r="O20" s="49">
        <f>O18-O19</f>
        <v>14199</v>
      </c>
      <c r="P20" s="49">
        <f>P18-P19</f>
        <v>23206</v>
      </c>
      <c r="Q20" s="49">
        <f>Q18-Q19</f>
        <v>0</v>
      </c>
      <c r="R20" s="49">
        <f t="shared" si="13"/>
        <v>63371</v>
      </c>
      <c r="S20" s="49">
        <f t="shared" si="14"/>
        <v>126742</v>
      </c>
      <c r="T20" s="49">
        <f t="shared" si="15"/>
        <v>190113</v>
      </c>
    </row>
    <row r="21" spans="2:20" ht="11.1" customHeight="1" x14ac:dyDescent="0.2">
      <c r="B21" s="171" t="s">
        <v>4</v>
      </c>
      <c r="C21" s="172"/>
      <c r="D21" s="52">
        <v>3538</v>
      </c>
      <c r="E21" s="52">
        <v>1265</v>
      </c>
      <c r="F21" s="52">
        <v>3924</v>
      </c>
      <c r="G21" s="52">
        <v>80.31</v>
      </c>
      <c r="H21" s="52">
        <f t="shared" si="10"/>
        <v>8807.31</v>
      </c>
      <c r="I21" s="52">
        <f t="shared" si="11"/>
        <v>17614.62</v>
      </c>
      <c r="J21" s="52">
        <f t="shared" si="12"/>
        <v>26421.93</v>
      </c>
      <c r="K21" s="47"/>
      <c r="L21" s="171" t="s">
        <v>4</v>
      </c>
      <c r="M21" s="172"/>
      <c r="N21" s="52">
        <v>3538</v>
      </c>
      <c r="O21" s="52">
        <v>1265</v>
      </c>
      <c r="P21" s="52">
        <v>3924</v>
      </c>
      <c r="Q21" s="52">
        <v>80.31</v>
      </c>
      <c r="R21" s="52">
        <f t="shared" si="13"/>
        <v>8807.31</v>
      </c>
      <c r="S21" s="52">
        <f t="shared" si="14"/>
        <v>17614.62</v>
      </c>
      <c r="T21" s="52">
        <f t="shared" si="15"/>
        <v>26421.93</v>
      </c>
    </row>
    <row r="22" spans="2:20" ht="11.1" customHeight="1" x14ac:dyDescent="0.2">
      <c r="B22" s="171" t="s">
        <v>5</v>
      </c>
      <c r="C22" s="172"/>
      <c r="D22" s="52">
        <v>15004</v>
      </c>
      <c r="E22" s="52">
        <v>6467</v>
      </c>
      <c r="F22" s="52">
        <v>10172</v>
      </c>
      <c r="G22" s="52">
        <v>580</v>
      </c>
      <c r="H22" s="52">
        <f t="shared" si="10"/>
        <v>32223</v>
      </c>
      <c r="I22" s="52">
        <f t="shared" si="11"/>
        <v>64446</v>
      </c>
      <c r="J22" s="52">
        <f t="shared" si="12"/>
        <v>96669</v>
      </c>
      <c r="K22" s="47"/>
      <c r="L22" s="171" t="s">
        <v>5</v>
      </c>
      <c r="M22" s="172"/>
      <c r="N22" s="52">
        <v>15004</v>
      </c>
      <c r="O22" s="52">
        <v>6467</v>
      </c>
      <c r="P22" s="52">
        <v>10172</v>
      </c>
      <c r="Q22" s="52">
        <v>580</v>
      </c>
      <c r="R22" s="52">
        <f t="shared" si="13"/>
        <v>32223</v>
      </c>
      <c r="S22" s="52">
        <f t="shared" si="14"/>
        <v>64446</v>
      </c>
      <c r="T22" s="52">
        <f t="shared" si="15"/>
        <v>96669</v>
      </c>
    </row>
    <row r="23" spans="2:20" ht="11.1" customHeight="1" x14ac:dyDescent="0.2">
      <c r="B23" s="239" t="s">
        <v>204</v>
      </c>
      <c r="C23" s="240"/>
      <c r="D23" s="49">
        <f>D20-D21-D22</f>
        <v>7424</v>
      </c>
      <c r="E23" s="49">
        <f>E20-E21-E22</f>
        <v>6467</v>
      </c>
      <c r="F23" s="49">
        <f>F20-F21-F22</f>
        <v>9110</v>
      </c>
      <c r="G23" s="49">
        <f>G20-G21-G22</f>
        <v>-660.31</v>
      </c>
      <c r="H23" s="49">
        <f t="shared" si="10"/>
        <v>22340.69</v>
      </c>
      <c r="I23" s="49">
        <f t="shared" si="11"/>
        <v>44681.38</v>
      </c>
      <c r="J23" s="49">
        <f t="shared" si="12"/>
        <v>67022.069999999992</v>
      </c>
      <c r="K23" s="47"/>
      <c r="L23" s="239" t="s">
        <v>204</v>
      </c>
      <c r="M23" s="240"/>
      <c r="N23" s="49">
        <f>N20-N21-N22</f>
        <v>7424</v>
      </c>
      <c r="O23" s="49">
        <f>O20-O21-O22</f>
        <v>6467</v>
      </c>
      <c r="P23" s="49">
        <f>P20-P21-P22</f>
        <v>9110</v>
      </c>
      <c r="Q23" s="49">
        <f>Q20-Q21-Q22</f>
        <v>-660.31</v>
      </c>
      <c r="R23" s="49">
        <f t="shared" si="13"/>
        <v>22340.69</v>
      </c>
      <c r="S23" s="49">
        <f t="shared" si="14"/>
        <v>44681.38</v>
      </c>
      <c r="T23" s="49">
        <f t="shared" si="15"/>
        <v>67022.069999999992</v>
      </c>
    </row>
    <row r="24" spans="2:20" ht="11.1" customHeight="1" x14ac:dyDescent="0.2">
      <c r="B24" s="171" t="s">
        <v>205</v>
      </c>
      <c r="C24" s="172"/>
      <c r="D24" s="52">
        <v>-252</v>
      </c>
      <c r="E24" s="52">
        <v>-76</v>
      </c>
      <c r="F24" s="52">
        <v>-629</v>
      </c>
      <c r="G24" s="52">
        <v>0</v>
      </c>
      <c r="H24" s="52">
        <f t="shared" si="10"/>
        <v>-957</v>
      </c>
      <c r="I24" s="52">
        <f t="shared" si="11"/>
        <v>-1914</v>
      </c>
      <c r="J24" s="52">
        <f t="shared" si="12"/>
        <v>-2871</v>
      </c>
      <c r="K24" s="47"/>
      <c r="L24" s="171" t="s">
        <v>205</v>
      </c>
      <c r="M24" s="172"/>
      <c r="N24" s="52">
        <v>-252</v>
      </c>
      <c r="O24" s="52">
        <v>-76</v>
      </c>
      <c r="P24" s="52">
        <v>-629</v>
      </c>
      <c r="Q24" s="52">
        <v>0</v>
      </c>
      <c r="R24" s="52">
        <f t="shared" si="13"/>
        <v>-957</v>
      </c>
      <c r="S24" s="52">
        <f t="shared" si="14"/>
        <v>-1914</v>
      </c>
      <c r="T24" s="52">
        <f t="shared" si="15"/>
        <v>-2871</v>
      </c>
    </row>
    <row r="25" spans="2:20" ht="11.1" customHeight="1" x14ac:dyDescent="0.2">
      <c r="B25" s="180" t="s">
        <v>206</v>
      </c>
      <c r="C25" s="181"/>
      <c r="D25" s="52">
        <v>0</v>
      </c>
      <c r="E25" s="52">
        <v>0</v>
      </c>
      <c r="F25" s="52">
        <v>235</v>
      </c>
      <c r="G25" s="52">
        <v>0</v>
      </c>
      <c r="H25" s="52">
        <f t="shared" si="10"/>
        <v>235</v>
      </c>
      <c r="I25" s="52">
        <f t="shared" si="11"/>
        <v>470</v>
      </c>
      <c r="J25" s="52">
        <f t="shared" si="12"/>
        <v>705</v>
      </c>
      <c r="K25" s="47"/>
      <c r="L25" s="180" t="s">
        <v>206</v>
      </c>
      <c r="M25" s="181"/>
      <c r="N25" s="52">
        <v>0</v>
      </c>
      <c r="O25" s="52">
        <v>0</v>
      </c>
      <c r="P25" s="52">
        <v>235</v>
      </c>
      <c r="Q25" s="52">
        <v>0</v>
      </c>
      <c r="R25" s="52">
        <f t="shared" si="13"/>
        <v>235</v>
      </c>
      <c r="S25" s="52">
        <f t="shared" si="14"/>
        <v>470</v>
      </c>
      <c r="T25" s="52">
        <f t="shared" si="15"/>
        <v>705</v>
      </c>
    </row>
    <row r="26" spans="2:20" ht="11.1" customHeight="1" x14ac:dyDescent="0.2">
      <c r="B26" s="180" t="s">
        <v>27</v>
      </c>
      <c r="C26" s="181"/>
      <c r="D26" s="52">
        <v>0</v>
      </c>
      <c r="E26" s="52"/>
      <c r="F26" s="52"/>
      <c r="G26" s="52">
        <v>0</v>
      </c>
      <c r="H26" s="52">
        <f t="shared" si="10"/>
        <v>0</v>
      </c>
      <c r="I26" s="52">
        <f t="shared" si="11"/>
        <v>0</v>
      </c>
      <c r="J26" s="52">
        <f t="shared" si="12"/>
        <v>0</v>
      </c>
      <c r="K26" s="47"/>
      <c r="L26" s="180" t="s">
        <v>27</v>
      </c>
      <c r="M26" s="181"/>
      <c r="N26" s="52">
        <v>0</v>
      </c>
      <c r="O26" s="52"/>
      <c r="P26" s="52"/>
      <c r="Q26" s="52">
        <v>0</v>
      </c>
      <c r="R26" s="52">
        <f t="shared" si="13"/>
        <v>0</v>
      </c>
      <c r="S26" s="52">
        <f t="shared" si="14"/>
        <v>0</v>
      </c>
      <c r="T26" s="52">
        <f t="shared" si="15"/>
        <v>0</v>
      </c>
    </row>
    <row r="27" spans="2:20" ht="11.1" customHeight="1" x14ac:dyDescent="0.2">
      <c r="B27" s="239" t="s">
        <v>207</v>
      </c>
      <c r="C27" s="240"/>
      <c r="D27" s="49">
        <f>D23+D24+D25+D26</f>
        <v>7172</v>
      </c>
      <c r="E27" s="49">
        <f>E23+E24+E25+E26</f>
        <v>6391</v>
      </c>
      <c r="F27" s="49">
        <f>F23+F24+F25+F26</f>
        <v>8716</v>
      </c>
      <c r="G27" s="49">
        <f>G23+G24+G25+G26</f>
        <v>-660.31</v>
      </c>
      <c r="H27" s="49">
        <f t="shared" si="10"/>
        <v>21618.69</v>
      </c>
      <c r="I27" s="49">
        <f t="shared" si="11"/>
        <v>43237.38</v>
      </c>
      <c r="J27" s="49">
        <f t="shared" si="12"/>
        <v>64856.069999999992</v>
      </c>
      <c r="K27" s="47"/>
      <c r="L27" s="239" t="s">
        <v>207</v>
      </c>
      <c r="M27" s="240"/>
      <c r="N27" s="49">
        <f>N23+N24+N25+N26</f>
        <v>7172</v>
      </c>
      <c r="O27" s="49">
        <f>O23+O24+O25+O26</f>
        <v>6391</v>
      </c>
      <c r="P27" s="49">
        <f>P23+P24+P25+P26</f>
        <v>8716</v>
      </c>
      <c r="Q27" s="49">
        <f>Q23+Q24+Q25+Q26</f>
        <v>-660.31</v>
      </c>
      <c r="R27" s="49">
        <f t="shared" si="13"/>
        <v>21618.69</v>
      </c>
      <c r="S27" s="49">
        <f t="shared" si="14"/>
        <v>43237.38</v>
      </c>
      <c r="T27" s="49">
        <f t="shared" si="15"/>
        <v>64856.069999999992</v>
      </c>
    </row>
    <row r="28" spans="2:20" ht="11.1" customHeight="1" x14ac:dyDescent="0.2">
      <c r="B28" s="75" t="s">
        <v>22</v>
      </c>
      <c r="C28" s="76"/>
      <c r="D28" s="49">
        <v>5964</v>
      </c>
      <c r="E28" s="49">
        <v>3369</v>
      </c>
      <c r="F28" s="49">
        <v>2363</v>
      </c>
      <c r="G28" s="49">
        <v>0</v>
      </c>
      <c r="H28" s="49">
        <f t="shared" si="10"/>
        <v>11696</v>
      </c>
      <c r="I28" s="49">
        <f t="shared" si="11"/>
        <v>23392</v>
      </c>
      <c r="J28" s="49">
        <f t="shared" si="12"/>
        <v>35088</v>
      </c>
      <c r="K28" s="47"/>
      <c r="L28" s="75" t="s">
        <v>22</v>
      </c>
      <c r="M28" s="76"/>
      <c r="N28" s="49">
        <v>5964</v>
      </c>
      <c r="O28" s="49">
        <v>3369</v>
      </c>
      <c r="P28" s="49">
        <v>2363</v>
      </c>
      <c r="Q28" s="49">
        <v>0</v>
      </c>
      <c r="R28" s="49">
        <f t="shared" si="13"/>
        <v>11696</v>
      </c>
      <c r="S28" s="49">
        <f t="shared" si="14"/>
        <v>23392</v>
      </c>
      <c r="T28" s="49">
        <f t="shared" si="15"/>
        <v>35088</v>
      </c>
    </row>
    <row r="29" spans="2:20" ht="11.1" customHeight="1" x14ac:dyDescent="0.2">
      <c r="B29" s="239" t="s">
        <v>23</v>
      </c>
      <c r="C29" s="240"/>
      <c r="D29" s="49">
        <f>D27+D28</f>
        <v>13136</v>
      </c>
      <c r="E29" s="49">
        <f t="shared" ref="E29:G29" si="16">E27+E28</f>
        <v>9760</v>
      </c>
      <c r="F29" s="49">
        <f t="shared" si="16"/>
        <v>11079</v>
      </c>
      <c r="G29" s="49">
        <f t="shared" si="16"/>
        <v>-660.31</v>
      </c>
      <c r="H29" s="49">
        <f t="shared" si="10"/>
        <v>33314.69</v>
      </c>
      <c r="I29" s="49">
        <f t="shared" si="11"/>
        <v>66629.38</v>
      </c>
      <c r="J29" s="49">
        <f t="shared" si="12"/>
        <v>99944.07</v>
      </c>
      <c r="K29" s="47"/>
      <c r="L29" s="239" t="s">
        <v>23</v>
      </c>
      <c r="M29" s="240"/>
      <c r="N29" s="49">
        <f>N27+N28</f>
        <v>13136</v>
      </c>
      <c r="O29" s="49">
        <f t="shared" ref="O29:Q29" si="17">O27+O28</f>
        <v>9760</v>
      </c>
      <c r="P29" s="49">
        <f t="shared" si="17"/>
        <v>11079</v>
      </c>
      <c r="Q29" s="49">
        <f t="shared" si="17"/>
        <v>-660.31</v>
      </c>
      <c r="R29" s="49">
        <f t="shared" si="13"/>
        <v>33314.69</v>
      </c>
      <c r="S29" s="49">
        <f t="shared" si="14"/>
        <v>66629.38</v>
      </c>
      <c r="T29" s="49">
        <f t="shared" si="15"/>
        <v>99944.07</v>
      </c>
    </row>
    <row r="30" spans="2:20" s="47" customFormat="1" ht="11.1" customHeight="1" x14ac:dyDescent="0.2">
      <c r="B30" s="77"/>
      <c r="C30" s="78"/>
      <c r="D30" s="77"/>
      <c r="E30" s="77"/>
      <c r="F30" s="77"/>
      <c r="G30" s="77"/>
      <c r="H30" s="77"/>
      <c r="I30" s="77"/>
      <c r="J30" s="77"/>
      <c r="L30" s="77"/>
      <c r="M30" s="78"/>
      <c r="N30" s="77"/>
      <c r="O30" s="77"/>
      <c r="P30" s="77"/>
      <c r="Q30" s="77"/>
      <c r="R30" s="77"/>
      <c r="S30" s="77"/>
      <c r="T30" s="77"/>
    </row>
    <row r="31" spans="2:20" s="47" customFormat="1" ht="11.1" customHeight="1" x14ac:dyDescent="0.2">
      <c r="B31" s="48"/>
      <c r="C31" s="72"/>
      <c r="D31" s="48"/>
      <c r="E31" s="48"/>
      <c r="F31" s="48"/>
      <c r="G31" s="48"/>
      <c r="H31" s="48"/>
      <c r="I31" s="48"/>
      <c r="J31" s="48"/>
      <c r="L31" s="48"/>
      <c r="M31" s="72"/>
      <c r="N31" s="48"/>
      <c r="O31" s="48"/>
      <c r="P31" s="48"/>
      <c r="Q31" s="48"/>
      <c r="R31" s="48"/>
      <c r="S31" s="48"/>
      <c r="T31" s="48"/>
    </row>
    <row r="32" spans="2:20" s="47" customFormat="1" ht="11.1" customHeight="1" x14ac:dyDescent="0.2">
      <c r="B32" s="174" t="s">
        <v>59</v>
      </c>
      <c r="C32" s="252"/>
      <c r="D32" s="244" t="s">
        <v>194</v>
      </c>
      <c r="E32" s="244" t="s">
        <v>195</v>
      </c>
      <c r="F32" s="244" t="s">
        <v>196</v>
      </c>
      <c r="G32" s="244" t="s">
        <v>197</v>
      </c>
      <c r="H32" s="244" t="s">
        <v>198</v>
      </c>
      <c r="I32" s="244" t="s">
        <v>199</v>
      </c>
      <c r="J32" s="244" t="s">
        <v>200</v>
      </c>
      <c r="L32" s="174" t="s">
        <v>59</v>
      </c>
      <c r="M32" s="252"/>
      <c r="N32" s="244" t="s">
        <v>194</v>
      </c>
      <c r="O32" s="244" t="s">
        <v>195</v>
      </c>
      <c r="P32" s="244" t="s">
        <v>196</v>
      </c>
      <c r="Q32" s="244" t="s">
        <v>197</v>
      </c>
      <c r="R32" s="244" t="s">
        <v>198</v>
      </c>
      <c r="S32" s="244" t="s">
        <v>199</v>
      </c>
      <c r="T32" s="244" t="s">
        <v>200</v>
      </c>
    </row>
    <row r="33" spans="2:20" s="47" customFormat="1" ht="11.1" customHeight="1" x14ac:dyDescent="0.2">
      <c r="B33" s="253"/>
      <c r="C33" s="254"/>
      <c r="D33" s="245"/>
      <c r="E33" s="245"/>
      <c r="F33" s="245"/>
      <c r="G33" s="245"/>
      <c r="H33" s="245"/>
      <c r="I33" s="245"/>
      <c r="J33" s="245"/>
      <c r="L33" s="253"/>
      <c r="M33" s="254"/>
      <c r="N33" s="245"/>
      <c r="O33" s="245"/>
      <c r="P33" s="245"/>
      <c r="Q33" s="245"/>
      <c r="R33" s="245"/>
      <c r="S33" s="245"/>
      <c r="T33" s="245"/>
    </row>
    <row r="34" spans="2:20" s="47" customFormat="1" ht="11.1" customHeight="1" x14ac:dyDescent="0.2">
      <c r="B34" s="250" t="s">
        <v>222</v>
      </c>
      <c r="C34" s="251"/>
      <c r="D34" s="251"/>
      <c r="E34" s="251"/>
      <c r="F34" s="251"/>
      <c r="G34" s="251"/>
      <c r="H34" s="73"/>
      <c r="I34" s="73"/>
      <c r="J34" s="74"/>
      <c r="L34" s="250" t="s">
        <v>223</v>
      </c>
      <c r="M34" s="251"/>
      <c r="N34" s="251"/>
      <c r="O34" s="251"/>
      <c r="P34" s="251"/>
      <c r="Q34" s="251"/>
      <c r="R34" s="73"/>
      <c r="S34" s="73"/>
      <c r="T34" s="74"/>
    </row>
    <row r="35" spans="2:20" s="47" customFormat="1" ht="11.1" customHeight="1" x14ac:dyDescent="0.2">
      <c r="B35" s="178" t="s">
        <v>202</v>
      </c>
      <c r="C35" s="179"/>
      <c r="D35" s="84">
        <v>203582</v>
      </c>
      <c r="E35" s="84">
        <v>147533</v>
      </c>
      <c r="F35" s="84">
        <v>110829</v>
      </c>
      <c r="G35" s="84">
        <v>0</v>
      </c>
      <c r="H35" s="52">
        <f>SUM(D35:G35)</f>
        <v>461944</v>
      </c>
      <c r="I35" s="52"/>
      <c r="J35" s="52">
        <f t="shared" ref="J35:J46" si="18">H35+I35</f>
        <v>461944</v>
      </c>
      <c r="L35" s="178" t="s">
        <v>202</v>
      </c>
      <c r="M35" s="179"/>
      <c r="N35" s="84">
        <f t="shared" ref="N35:Q36" si="19">D35-D5</f>
        <v>119621</v>
      </c>
      <c r="O35" s="84">
        <f t="shared" si="19"/>
        <v>67257</v>
      </c>
      <c r="P35" s="84">
        <f t="shared" si="19"/>
        <v>50530</v>
      </c>
      <c r="Q35" s="84">
        <f t="shared" si="19"/>
        <v>0</v>
      </c>
      <c r="R35" s="52">
        <f>SUM(N35:Q35)</f>
        <v>237408</v>
      </c>
      <c r="S35" s="52">
        <f>I35-I5</f>
        <v>0</v>
      </c>
      <c r="T35" s="52">
        <f t="shared" ref="T35:T46" si="20">R35+S35</f>
        <v>237408</v>
      </c>
    </row>
    <row r="36" spans="2:20" s="47" customFormat="1" ht="11.1" customHeight="1" x14ac:dyDescent="0.2">
      <c r="B36" s="178" t="s">
        <v>33</v>
      </c>
      <c r="C36" s="179"/>
      <c r="D36" s="84">
        <v>155090</v>
      </c>
      <c r="E36" s="84">
        <v>109196</v>
      </c>
      <c r="F36" s="84">
        <v>73124</v>
      </c>
      <c r="G36" s="84">
        <v>0</v>
      </c>
      <c r="H36" s="52">
        <f t="shared" ref="H36:H46" si="21">SUM(D36:G36)</f>
        <v>337410</v>
      </c>
      <c r="I36" s="52"/>
      <c r="J36" s="52">
        <f t="shared" si="18"/>
        <v>337410</v>
      </c>
      <c r="L36" s="178" t="s">
        <v>33</v>
      </c>
      <c r="M36" s="179"/>
      <c r="N36" s="84">
        <f t="shared" si="19"/>
        <v>93693</v>
      </c>
      <c r="O36" s="84">
        <f t="shared" si="19"/>
        <v>49336</v>
      </c>
      <c r="P36" s="84">
        <f t="shared" si="19"/>
        <v>32863</v>
      </c>
      <c r="Q36" s="84">
        <f t="shared" si="19"/>
        <v>0</v>
      </c>
      <c r="R36" s="52">
        <f t="shared" ref="R36:R46" si="22">SUM(N36:Q36)</f>
        <v>175892</v>
      </c>
      <c r="S36" s="52">
        <f>I36-I6</f>
        <v>0</v>
      </c>
      <c r="T36" s="52">
        <f t="shared" si="20"/>
        <v>175892</v>
      </c>
    </row>
    <row r="37" spans="2:20" s="47" customFormat="1" ht="11.1" customHeight="1" x14ac:dyDescent="0.2">
      <c r="B37" s="239" t="s">
        <v>203</v>
      </c>
      <c r="C37" s="240"/>
      <c r="D37" s="85">
        <f>D35-D36</f>
        <v>48492</v>
      </c>
      <c r="E37" s="85">
        <f>E35-E36</f>
        <v>38337</v>
      </c>
      <c r="F37" s="85">
        <f>F35-F36</f>
        <v>37705</v>
      </c>
      <c r="G37" s="85">
        <f>G35-G36</f>
        <v>0</v>
      </c>
      <c r="H37" s="49">
        <f t="shared" si="21"/>
        <v>124534</v>
      </c>
      <c r="I37" s="49">
        <f>I35-I36</f>
        <v>0</v>
      </c>
      <c r="J37" s="49">
        <f t="shared" si="18"/>
        <v>124534</v>
      </c>
      <c r="L37" s="239" t="s">
        <v>203</v>
      </c>
      <c r="M37" s="240"/>
      <c r="N37" s="85">
        <f>N35-N36</f>
        <v>25928</v>
      </c>
      <c r="O37" s="85">
        <f>O35-O36</f>
        <v>17921</v>
      </c>
      <c r="P37" s="85">
        <f>P35-P36</f>
        <v>17667</v>
      </c>
      <c r="Q37" s="85">
        <f>Q35-Q36</f>
        <v>0</v>
      </c>
      <c r="R37" s="49">
        <f t="shared" si="22"/>
        <v>61516</v>
      </c>
      <c r="S37" s="49">
        <f>S35-S36</f>
        <v>0</v>
      </c>
      <c r="T37" s="49">
        <f t="shared" si="20"/>
        <v>61516</v>
      </c>
    </row>
    <row r="38" spans="2:20" s="47" customFormat="1" ht="11.1" customHeight="1" x14ac:dyDescent="0.2">
      <c r="B38" s="171" t="s">
        <v>4</v>
      </c>
      <c r="C38" s="172"/>
      <c r="D38" s="84">
        <v>7134</v>
      </c>
      <c r="E38" s="84">
        <v>3280</v>
      </c>
      <c r="F38" s="84">
        <v>6254</v>
      </c>
      <c r="G38" s="84">
        <v>255</v>
      </c>
      <c r="H38" s="52">
        <f t="shared" si="21"/>
        <v>16923</v>
      </c>
      <c r="I38" s="52"/>
      <c r="J38" s="52">
        <f t="shared" si="18"/>
        <v>16923</v>
      </c>
      <c r="L38" s="171" t="s">
        <v>4</v>
      </c>
      <c r="M38" s="172"/>
      <c r="N38" s="84">
        <f t="shared" ref="N38:Q39" si="23">D38-D8</f>
        <v>3439</v>
      </c>
      <c r="O38" s="84">
        <f t="shared" si="23"/>
        <v>1666</v>
      </c>
      <c r="P38" s="84">
        <f t="shared" si="23"/>
        <v>2692</v>
      </c>
      <c r="Q38" s="84">
        <f t="shared" si="23"/>
        <v>83</v>
      </c>
      <c r="R38" s="52">
        <f t="shared" si="22"/>
        <v>7880</v>
      </c>
      <c r="S38" s="52">
        <f>I38-I8</f>
        <v>0</v>
      </c>
      <c r="T38" s="52">
        <f t="shared" si="20"/>
        <v>7880</v>
      </c>
    </row>
    <row r="39" spans="2:20" s="47" customFormat="1" ht="11.1" customHeight="1" x14ac:dyDescent="0.2">
      <c r="B39" s="171" t="s">
        <v>5</v>
      </c>
      <c r="C39" s="172"/>
      <c r="D39" s="84">
        <v>27631</v>
      </c>
      <c r="E39" s="84">
        <v>13986</v>
      </c>
      <c r="F39" s="84">
        <v>19698</v>
      </c>
      <c r="G39" s="84">
        <v>1912</v>
      </c>
      <c r="H39" s="52">
        <f t="shared" si="21"/>
        <v>63227</v>
      </c>
      <c r="I39" s="52"/>
      <c r="J39" s="52">
        <f t="shared" si="18"/>
        <v>63227</v>
      </c>
      <c r="L39" s="171" t="s">
        <v>5</v>
      </c>
      <c r="M39" s="172"/>
      <c r="N39" s="84">
        <f t="shared" si="23"/>
        <v>13895</v>
      </c>
      <c r="O39" s="84">
        <f t="shared" si="23"/>
        <v>6470</v>
      </c>
      <c r="P39" s="84">
        <f t="shared" si="23"/>
        <v>9603</v>
      </c>
      <c r="Q39" s="84">
        <f t="shared" si="23"/>
        <v>858</v>
      </c>
      <c r="R39" s="52">
        <f t="shared" si="22"/>
        <v>30826</v>
      </c>
      <c r="S39" s="52">
        <f>I39-I9</f>
        <v>0</v>
      </c>
      <c r="T39" s="52">
        <f t="shared" si="20"/>
        <v>30826</v>
      </c>
    </row>
    <row r="40" spans="2:20" s="47" customFormat="1" ht="11.1" customHeight="1" x14ac:dyDescent="0.2">
      <c r="B40" s="239" t="s">
        <v>204</v>
      </c>
      <c r="C40" s="240"/>
      <c r="D40" s="85">
        <f t="shared" ref="D40:G40" si="24">D37-D38-D39</f>
        <v>13727</v>
      </c>
      <c r="E40" s="85">
        <f t="shared" si="24"/>
        <v>21071</v>
      </c>
      <c r="F40" s="85">
        <f t="shared" si="24"/>
        <v>11753</v>
      </c>
      <c r="G40" s="85">
        <f t="shared" si="24"/>
        <v>-2167</v>
      </c>
      <c r="H40" s="49">
        <f t="shared" si="21"/>
        <v>44384</v>
      </c>
      <c r="I40" s="49">
        <f>I37-I38-I39</f>
        <v>0</v>
      </c>
      <c r="J40" s="49">
        <f t="shared" si="18"/>
        <v>44384</v>
      </c>
      <c r="L40" s="239" t="s">
        <v>204</v>
      </c>
      <c r="M40" s="240"/>
      <c r="N40" s="85">
        <f>N37-N38-N39</f>
        <v>8594</v>
      </c>
      <c r="O40" s="85">
        <f>O37-O38-O39</f>
        <v>9785</v>
      </c>
      <c r="P40" s="85">
        <f>P37-P38-P39</f>
        <v>5372</v>
      </c>
      <c r="Q40" s="85">
        <f>Q37-Q38-Q39</f>
        <v>-941</v>
      </c>
      <c r="R40" s="49">
        <f t="shared" si="22"/>
        <v>22810</v>
      </c>
      <c r="S40" s="49">
        <f>S37-S38-S39</f>
        <v>0</v>
      </c>
      <c r="T40" s="49">
        <f t="shared" si="20"/>
        <v>22810</v>
      </c>
    </row>
    <row r="41" spans="2:20" s="47" customFormat="1" ht="11.1" customHeight="1" x14ac:dyDescent="0.2">
      <c r="B41" s="171" t="s">
        <v>205</v>
      </c>
      <c r="C41" s="172"/>
      <c r="D41" s="84">
        <v>-1239</v>
      </c>
      <c r="E41" s="84">
        <v>-611</v>
      </c>
      <c r="F41" s="84">
        <v>-2524</v>
      </c>
      <c r="G41" s="84">
        <v>0</v>
      </c>
      <c r="H41" s="52">
        <f t="shared" si="21"/>
        <v>-4374</v>
      </c>
      <c r="I41" s="52">
        <v>0</v>
      </c>
      <c r="J41" s="52">
        <f t="shared" si="18"/>
        <v>-4374</v>
      </c>
      <c r="L41" s="171" t="s">
        <v>205</v>
      </c>
      <c r="M41" s="172"/>
      <c r="N41" s="84">
        <f t="shared" ref="N41:P43" si="25">D41-D11</f>
        <v>-1408</v>
      </c>
      <c r="O41" s="84">
        <f t="shared" si="25"/>
        <v>-478</v>
      </c>
      <c r="P41" s="84">
        <f t="shared" si="25"/>
        <v>-1304</v>
      </c>
      <c r="Q41" s="84">
        <v>0</v>
      </c>
      <c r="R41" s="52">
        <f t="shared" si="22"/>
        <v>-3190</v>
      </c>
      <c r="S41" s="52">
        <f>I41-I11</f>
        <v>0</v>
      </c>
      <c r="T41" s="52">
        <f t="shared" si="20"/>
        <v>-3190</v>
      </c>
    </row>
    <row r="42" spans="2:20" s="47" customFormat="1" ht="11.1" customHeight="1" x14ac:dyDescent="0.2">
      <c r="B42" s="180" t="s">
        <v>206</v>
      </c>
      <c r="C42" s="181"/>
      <c r="D42" s="84">
        <v>0</v>
      </c>
      <c r="E42" s="84">
        <v>0</v>
      </c>
      <c r="F42" s="84">
        <v>400</v>
      </c>
      <c r="G42" s="84">
        <v>0</v>
      </c>
      <c r="H42" s="52">
        <f t="shared" si="21"/>
        <v>400</v>
      </c>
      <c r="I42" s="52"/>
      <c r="J42" s="52">
        <f t="shared" si="18"/>
        <v>400</v>
      </c>
      <c r="L42" s="180" t="s">
        <v>206</v>
      </c>
      <c r="M42" s="181"/>
      <c r="N42" s="84">
        <f t="shared" si="25"/>
        <v>0</v>
      </c>
      <c r="O42" s="84">
        <f t="shared" si="25"/>
        <v>0</v>
      </c>
      <c r="P42" s="84">
        <f t="shared" si="25"/>
        <v>406</v>
      </c>
      <c r="Q42" s="84">
        <v>0</v>
      </c>
      <c r="R42" s="52">
        <f t="shared" si="22"/>
        <v>406</v>
      </c>
      <c r="S42" s="52">
        <f>I42-I12</f>
        <v>0</v>
      </c>
      <c r="T42" s="52">
        <f t="shared" si="20"/>
        <v>406</v>
      </c>
    </row>
    <row r="43" spans="2:20" s="47" customFormat="1" ht="11.1" customHeight="1" x14ac:dyDescent="0.2">
      <c r="B43" s="180" t="s">
        <v>27</v>
      </c>
      <c r="C43" s="181"/>
      <c r="D43" s="84"/>
      <c r="E43" s="84"/>
      <c r="F43" s="84"/>
      <c r="G43" s="84"/>
      <c r="H43" s="52">
        <f t="shared" si="21"/>
        <v>0</v>
      </c>
      <c r="I43" s="52">
        <v>0</v>
      </c>
      <c r="J43" s="52">
        <f t="shared" si="18"/>
        <v>0</v>
      </c>
      <c r="L43" s="180" t="s">
        <v>27</v>
      </c>
      <c r="M43" s="181"/>
      <c r="N43" s="84">
        <f t="shared" si="25"/>
        <v>0</v>
      </c>
      <c r="O43" s="84">
        <f t="shared" si="25"/>
        <v>0</v>
      </c>
      <c r="P43" s="84">
        <f t="shared" si="25"/>
        <v>0</v>
      </c>
      <c r="Q43" s="84">
        <v>0</v>
      </c>
      <c r="R43" s="52">
        <f t="shared" si="22"/>
        <v>0</v>
      </c>
      <c r="S43" s="52">
        <f>I43-I13</f>
        <v>0</v>
      </c>
      <c r="T43" s="52">
        <f t="shared" si="20"/>
        <v>0</v>
      </c>
    </row>
    <row r="44" spans="2:20" s="47" customFormat="1" ht="11.1" customHeight="1" x14ac:dyDescent="0.2">
      <c r="B44" s="239" t="s">
        <v>207</v>
      </c>
      <c r="C44" s="240"/>
      <c r="D44" s="85">
        <f t="shared" ref="D44:G44" si="26">D40+D41+D43+D42</f>
        <v>12488</v>
      </c>
      <c r="E44" s="85">
        <f t="shared" si="26"/>
        <v>20460</v>
      </c>
      <c r="F44" s="85">
        <f t="shared" si="26"/>
        <v>9629</v>
      </c>
      <c r="G44" s="85">
        <f t="shared" si="26"/>
        <v>-2167</v>
      </c>
      <c r="H44" s="49">
        <f t="shared" si="21"/>
        <v>40410</v>
      </c>
      <c r="I44" s="49">
        <f>I40+I41+I43</f>
        <v>0</v>
      </c>
      <c r="J44" s="49">
        <f t="shared" si="18"/>
        <v>40410</v>
      </c>
      <c r="L44" s="239" t="s">
        <v>207</v>
      </c>
      <c r="M44" s="240"/>
      <c r="N44" s="85">
        <f t="shared" ref="N44:Q44" si="27">N40+N41+N42+N43</f>
        <v>7186</v>
      </c>
      <c r="O44" s="85">
        <f t="shared" si="27"/>
        <v>9307</v>
      </c>
      <c r="P44" s="85">
        <f t="shared" si="27"/>
        <v>4474</v>
      </c>
      <c r="Q44" s="85">
        <f t="shared" si="27"/>
        <v>-941</v>
      </c>
      <c r="R44" s="49">
        <f t="shared" si="22"/>
        <v>20026</v>
      </c>
      <c r="S44" s="49">
        <f>S40+S41+S43</f>
        <v>0</v>
      </c>
      <c r="T44" s="49">
        <f t="shared" si="20"/>
        <v>20026</v>
      </c>
    </row>
    <row r="45" spans="2:20" s="47" customFormat="1" ht="11.1" customHeight="1" x14ac:dyDescent="0.2">
      <c r="B45" s="75" t="s">
        <v>22</v>
      </c>
      <c r="C45" s="76"/>
      <c r="D45" s="85">
        <v>13371</v>
      </c>
      <c r="E45" s="85">
        <v>7668</v>
      </c>
      <c r="F45" s="85">
        <v>4731</v>
      </c>
      <c r="G45" s="85">
        <v>0</v>
      </c>
      <c r="H45" s="49">
        <f t="shared" si="21"/>
        <v>25770</v>
      </c>
      <c r="I45" s="49">
        <v>0</v>
      </c>
      <c r="J45" s="49">
        <f t="shared" si="18"/>
        <v>25770</v>
      </c>
      <c r="L45" s="75" t="s">
        <v>22</v>
      </c>
      <c r="M45" s="76"/>
      <c r="N45" s="85">
        <f>D45-D15</f>
        <v>6902</v>
      </c>
      <c r="O45" s="85">
        <f>E45-E15</f>
        <v>3917</v>
      </c>
      <c r="P45" s="85">
        <f>F45-F15</f>
        <v>2162</v>
      </c>
      <c r="Q45" s="85">
        <f>G45-G15</f>
        <v>0</v>
      </c>
      <c r="R45" s="49">
        <f t="shared" si="22"/>
        <v>12981</v>
      </c>
      <c r="S45" s="49">
        <f>I45-I15</f>
        <v>0</v>
      </c>
      <c r="T45" s="49">
        <f t="shared" si="20"/>
        <v>12981</v>
      </c>
    </row>
    <row r="46" spans="2:20" s="47" customFormat="1" ht="11.1" customHeight="1" x14ac:dyDescent="0.2">
      <c r="B46" s="239" t="s">
        <v>23</v>
      </c>
      <c r="C46" s="240"/>
      <c r="D46" s="85">
        <f t="shared" ref="D46:G46" si="28">D44+D45</f>
        <v>25859</v>
      </c>
      <c r="E46" s="85">
        <f t="shared" si="28"/>
        <v>28128</v>
      </c>
      <c r="F46" s="85">
        <f t="shared" si="28"/>
        <v>14360</v>
      </c>
      <c r="G46" s="85">
        <f t="shared" si="28"/>
        <v>-2167</v>
      </c>
      <c r="H46" s="49">
        <f t="shared" si="21"/>
        <v>66180</v>
      </c>
      <c r="I46" s="49">
        <f>I44+I45</f>
        <v>0</v>
      </c>
      <c r="J46" s="49">
        <f t="shared" si="18"/>
        <v>66180</v>
      </c>
      <c r="L46" s="239" t="s">
        <v>23</v>
      </c>
      <c r="M46" s="240"/>
      <c r="N46" s="85">
        <f>N44+N45</f>
        <v>14088</v>
      </c>
      <c r="O46" s="85">
        <f t="shared" ref="O46:Q46" si="29">O44+O45</f>
        <v>13224</v>
      </c>
      <c r="P46" s="85">
        <f t="shared" si="29"/>
        <v>6636</v>
      </c>
      <c r="Q46" s="85">
        <f t="shared" si="29"/>
        <v>-941</v>
      </c>
      <c r="R46" s="49">
        <f t="shared" si="22"/>
        <v>33007</v>
      </c>
      <c r="S46" s="49">
        <f>S44+S45</f>
        <v>0</v>
      </c>
      <c r="T46" s="49">
        <f t="shared" si="20"/>
        <v>33007</v>
      </c>
    </row>
    <row r="47" spans="2:20" s="47" customFormat="1" ht="11.1" customHeight="1" x14ac:dyDescent="0.2">
      <c r="B47" s="250" t="s">
        <v>209</v>
      </c>
      <c r="C47" s="251"/>
      <c r="D47" s="251"/>
      <c r="E47" s="251"/>
      <c r="F47" s="251"/>
      <c r="G47" s="251"/>
      <c r="H47" s="73"/>
      <c r="I47" s="73"/>
      <c r="J47" s="73"/>
      <c r="L47" s="250" t="s">
        <v>210</v>
      </c>
      <c r="M47" s="251"/>
      <c r="N47" s="251"/>
      <c r="O47" s="251"/>
      <c r="P47" s="251"/>
      <c r="Q47" s="251"/>
      <c r="R47" s="73"/>
      <c r="S47" s="73"/>
      <c r="T47" s="73"/>
    </row>
    <row r="48" spans="2:20" s="47" customFormat="1" ht="11.1" customHeight="1" x14ac:dyDescent="0.2">
      <c r="B48" s="178" t="s">
        <v>202</v>
      </c>
      <c r="C48" s="179"/>
      <c r="D48" s="84">
        <v>185111</v>
      </c>
      <c r="E48" s="84">
        <v>111219</v>
      </c>
      <c r="F48" s="84">
        <v>126931</v>
      </c>
      <c r="G48" s="84">
        <v>0</v>
      </c>
      <c r="H48" s="52">
        <f t="shared" ref="H48:H59" si="30">SUM(D48:G48)</f>
        <v>423261</v>
      </c>
      <c r="I48" s="52">
        <v>0</v>
      </c>
      <c r="J48" s="52">
        <f t="shared" ref="J48:J59" si="31">H48+I48</f>
        <v>423261</v>
      </c>
      <c r="L48" s="178" t="s">
        <v>202</v>
      </c>
      <c r="M48" s="179"/>
      <c r="N48" s="84">
        <f t="shared" ref="N48:Q49" si="32">D48-D18</f>
        <v>90028</v>
      </c>
      <c r="O48" s="84">
        <f t="shared" si="32"/>
        <v>54517</v>
      </c>
      <c r="P48" s="84">
        <f t="shared" si="32"/>
        <v>66237</v>
      </c>
      <c r="Q48" s="84">
        <f t="shared" si="32"/>
        <v>0</v>
      </c>
      <c r="R48" s="52">
        <f>SUM(N48:Q48)</f>
        <v>210782</v>
      </c>
      <c r="S48" s="52">
        <f>I48-I18</f>
        <v>-424958</v>
      </c>
      <c r="T48" s="52">
        <f t="shared" ref="T48:T59" si="33">R48+S48</f>
        <v>-214176</v>
      </c>
    </row>
    <row r="49" spans="2:20" s="47" customFormat="1" ht="11.1" customHeight="1" x14ac:dyDescent="0.2">
      <c r="B49" s="178" t="s">
        <v>33</v>
      </c>
      <c r="C49" s="179"/>
      <c r="D49" s="84">
        <f>133948+235</f>
        <v>134183</v>
      </c>
      <c r="E49" s="84">
        <v>85218</v>
      </c>
      <c r="F49" s="84">
        <v>77804</v>
      </c>
      <c r="G49" s="84">
        <v>0</v>
      </c>
      <c r="H49" s="52">
        <f t="shared" si="30"/>
        <v>297205</v>
      </c>
      <c r="I49" s="52">
        <v>0</v>
      </c>
      <c r="J49" s="52">
        <f t="shared" si="31"/>
        <v>297205</v>
      </c>
      <c r="L49" s="178" t="s">
        <v>33</v>
      </c>
      <c r="M49" s="179"/>
      <c r="N49" s="84">
        <f t="shared" si="32"/>
        <v>65066</v>
      </c>
      <c r="O49" s="84">
        <f t="shared" si="32"/>
        <v>42715</v>
      </c>
      <c r="P49" s="84">
        <f t="shared" si="32"/>
        <v>40316</v>
      </c>
      <c r="Q49" s="84">
        <f t="shared" si="32"/>
        <v>0</v>
      </c>
      <c r="R49" s="52">
        <f t="shared" ref="R49:R59" si="34">SUM(N49:Q49)</f>
        <v>148097</v>
      </c>
      <c r="S49" s="52">
        <f>I49-I19</f>
        <v>-298216</v>
      </c>
      <c r="T49" s="52">
        <f t="shared" si="33"/>
        <v>-150119</v>
      </c>
    </row>
    <row r="50" spans="2:20" s="47" customFormat="1" ht="11.1" customHeight="1" x14ac:dyDescent="0.2">
      <c r="B50" s="239" t="s">
        <v>203</v>
      </c>
      <c r="C50" s="240"/>
      <c r="D50" s="85">
        <f t="shared" ref="D50:G50" si="35">D48-D49</f>
        <v>50928</v>
      </c>
      <c r="E50" s="85">
        <f t="shared" si="35"/>
        <v>26001</v>
      </c>
      <c r="F50" s="85">
        <f t="shared" si="35"/>
        <v>49127</v>
      </c>
      <c r="G50" s="85">
        <f t="shared" si="35"/>
        <v>0</v>
      </c>
      <c r="H50" s="49">
        <f t="shared" si="30"/>
        <v>126056</v>
      </c>
      <c r="I50" s="49">
        <f>I48-I49</f>
        <v>0</v>
      </c>
      <c r="J50" s="49">
        <f t="shared" si="31"/>
        <v>126056</v>
      </c>
      <c r="L50" s="239" t="s">
        <v>203</v>
      </c>
      <c r="M50" s="240"/>
      <c r="N50" s="85">
        <f>N48-N49</f>
        <v>24962</v>
      </c>
      <c r="O50" s="85">
        <f>O48-O49</f>
        <v>11802</v>
      </c>
      <c r="P50" s="85">
        <f>P48-P49</f>
        <v>25921</v>
      </c>
      <c r="Q50" s="85">
        <f>Q48-Q49</f>
        <v>0</v>
      </c>
      <c r="R50" s="49">
        <f t="shared" si="34"/>
        <v>62685</v>
      </c>
      <c r="S50" s="49">
        <f>S48-S49</f>
        <v>-126742</v>
      </c>
      <c r="T50" s="49">
        <f t="shared" si="33"/>
        <v>-64057</v>
      </c>
    </row>
    <row r="51" spans="2:20" s="47" customFormat="1" ht="11.1" customHeight="1" x14ac:dyDescent="0.2">
      <c r="B51" s="171" t="s">
        <v>4</v>
      </c>
      <c r="C51" s="172"/>
      <c r="D51" s="84">
        <v>8298.7894439545507</v>
      </c>
      <c r="E51" s="84">
        <v>2836.77038396545</v>
      </c>
      <c r="F51" s="84">
        <v>8032.6426200000024</v>
      </c>
      <c r="G51" s="84">
        <v>191.33</v>
      </c>
      <c r="H51" s="52">
        <f t="shared" si="30"/>
        <v>19359.532447920006</v>
      </c>
      <c r="I51" s="52">
        <v>0</v>
      </c>
      <c r="J51" s="52">
        <f t="shared" si="31"/>
        <v>19359.532447920006</v>
      </c>
      <c r="L51" s="171" t="s">
        <v>4</v>
      </c>
      <c r="M51" s="172"/>
      <c r="N51" s="84">
        <f t="shared" ref="N51:Q52" si="36">D51-D21</f>
        <v>4760.7894439545507</v>
      </c>
      <c r="O51" s="84">
        <f t="shared" si="36"/>
        <v>1571.77038396545</v>
      </c>
      <c r="P51" s="84">
        <f t="shared" si="36"/>
        <v>4108.6426200000024</v>
      </c>
      <c r="Q51" s="84">
        <f t="shared" si="36"/>
        <v>111.02000000000001</v>
      </c>
      <c r="R51" s="52">
        <f t="shared" si="34"/>
        <v>10552.222447920003</v>
      </c>
      <c r="S51" s="52">
        <f>I51-I21</f>
        <v>-17614.62</v>
      </c>
      <c r="T51" s="52">
        <f t="shared" si="33"/>
        <v>-7062.3975520799959</v>
      </c>
    </row>
    <row r="52" spans="2:20" s="47" customFormat="1" ht="11.1" customHeight="1" x14ac:dyDescent="0.2">
      <c r="B52" s="171" t="s">
        <v>5</v>
      </c>
      <c r="C52" s="172"/>
      <c r="D52" s="84">
        <v>29781</v>
      </c>
      <c r="E52" s="84">
        <v>12277</v>
      </c>
      <c r="F52" s="84">
        <v>20253.023835103842</v>
      </c>
      <c r="G52" s="84">
        <v>1543.15</v>
      </c>
      <c r="H52" s="52">
        <f t="shared" si="30"/>
        <v>63854.173835103844</v>
      </c>
      <c r="I52" s="52">
        <v>0</v>
      </c>
      <c r="J52" s="52">
        <f t="shared" si="31"/>
        <v>63854.173835103844</v>
      </c>
      <c r="L52" s="171" t="s">
        <v>5</v>
      </c>
      <c r="M52" s="172"/>
      <c r="N52" s="84">
        <f t="shared" si="36"/>
        <v>14777</v>
      </c>
      <c r="O52" s="84">
        <f t="shared" si="36"/>
        <v>5810</v>
      </c>
      <c r="P52" s="84">
        <f t="shared" si="36"/>
        <v>10081.023835103842</v>
      </c>
      <c r="Q52" s="84">
        <f t="shared" si="36"/>
        <v>963.15000000000009</v>
      </c>
      <c r="R52" s="52">
        <f t="shared" si="34"/>
        <v>31631.173835103844</v>
      </c>
      <c r="S52" s="52">
        <f>I52-I22</f>
        <v>-64446</v>
      </c>
      <c r="T52" s="52">
        <f t="shared" si="33"/>
        <v>-32814.826164896156</v>
      </c>
    </row>
    <row r="53" spans="2:20" s="47" customFormat="1" ht="11.1" customHeight="1" x14ac:dyDescent="0.2">
      <c r="B53" s="239" t="s">
        <v>204</v>
      </c>
      <c r="C53" s="240"/>
      <c r="D53" s="85">
        <f t="shared" ref="D53:G53" si="37">D50-D51-D52</f>
        <v>12848.210556045451</v>
      </c>
      <c r="E53" s="85">
        <f t="shared" si="37"/>
        <v>10887.22961603455</v>
      </c>
      <c r="F53" s="85">
        <f t="shared" si="37"/>
        <v>20841.333544896159</v>
      </c>
      <c r="G53" s="85">
        <f t="shared" si="37"/>
        <v>-1734.48</v>
      </c>
      <c r="H53" s="49">
        <f t="shared" si="30"/>
        <v>42842.293716976157</v>
      </c>
      <c r="I53" s="49">
        <f>I50-I51-I52</f>
        <v>0</v>
      </c>
      <c r="J53" s="49">
        <f t="shared" si="31"/>
        <v>42842.293716976157</v>
      </c>
      <c r="L53" s="239" t="s">
        <v>204</v>
      </c>
      <c r="M53" s="240"/>
      <c r="N53" s="85">
        <f>N50-N51-N52</f>
        <v>5424.2105560454511</v>
      </c>
      <c r="O53" s="85">
        <f>O50-O51-O52</f>
        <v>4420.2296160345504</v>
      </c>
      <c r="P53" s="85">
        <f>P50-P51-P52</f>
        <v>11731.333544896155</v>
      </c>
      <c r="Q53" s="85">
        <f>Q50-Q51-Q52</f>
        <v>-1074.17</v>
      </c>
      <c r="R53" s="49">
        <f t="shared" si="34"/>
        <v>20501.603716976155</v>
      </c>
      <c r="S53" s="49">
        <f>S50-S51-S52</f>
        <v>-44681.380000000005</v>
      </c>
      <c r="T53" s="49">
        <f t="shared" si="33"/>
        <v>-24179.77628302385</v>
      </c>
    </row>
    <row r="54" spans="2:20" s="47" customFormat="1" ht="11.1" customHeight="1" x14ac:dyDescent="0.2">
      <c r="B54" s="171" t="s">
        <v>205</v>
      </c>
      <c r="C54" s="172"/>
      <c r="D54" s="84">
        <f>-659+235</f>
        <v>-424</v>
      </c>
      <c r="E54" s="84">
        <v>-36</v>
      </c>
      <c r="F54" s="84">
        <v>-1387</v>
      </c>
      <c r="G54" s="84">
        <v>0</v>
      </c>
      <c r="H54" s="52">
        <f t="shared" si="30"/>
        <v>-1847</v>
      </c>
      <c r="I54" s="52">
        <v>0</v>
      </c>
      <c r="J54" s="52">
        <f t="shared" si="31"/>
        <v>-1847</v>
      </c>
      <c r="L54" s="171" t="s">
        <v>205</v>
      </c>
      <c r="M54" s="172"/>
      <c r="N54" s="84">
        <f t="shared" ref="N54:Q56" si="38">D54-D24</f>
        <v>-172</v>
      </c>
      <c r="O54" s="84">
        <f t="shared" si="38"/>
        <v>40</v>
      </c>
      <c r="P54" s="84">
        <f t="shared" si="38"/>
        <v>-758</v>
      </c>
      <c r="Q54" s="84">
        <f t="shared" si="38"/>
        <v>0</v>
      </c>
      <c r="R54" s="52">
        <f t="shared" si="34"/>
        <v>-890</v>
      </c>
      <c r="S54" s="52">
        <f>I54-I24</f>
        <v>1914</v>
      </c>
      <c r="T54" s="52">
        <f t="shared" si="33"/>
        <v>1024</v>
      </c>
    </row>
    <row r="55" spans="2:20" s="47" customFormat="1" ht="11.1" customHeight="1" x14ac:dyDescent="0.2">
      <c r="B55" s="180" t="s">
        <v>206</v>
      </c>
      <c r="C55" s="181"/>
      <c r="D55" s="84">
        <v>0</v>
      </c>
      <c r="E55" s="84">
        <v>0</v>
      </c>
      <c r="F55" s="84">
        <v>563</v>
      </c>
      <c r="G55" s="84">
        <v>0</v>
      </c>
      <c r="H55" s="52">
        <f t="shared" si="30"/>
        <v>563</v>
      </c>
      <c r="I55" s="52">
        <v>0</v>
      </c>
      <c r="J55" s="52">
        <f t="shared" si="31"/>
        <v>563</v>
      </c>
      <c r="L55" s="180" t="s">
        <v>206</v>
      </c>
      <c r="M55" s="181"/>
      <c r="N55" s="84">
        <f t="shared" si="38"/>
        <v>0</v>
      </c>
      <c r="O55" s="84">
        <f t="shared" si="38"/>
        <v>0</v>
      </c>
      <c r="P55" s="84">
        <f t="shared" si="38"/>
        <v>328</v>
      </c>
      <c r="Q55" s="84">
        <f t="shared" si="38"/>
        <v>0</v>
      </c>
      <c r="R55" s="52">
        <f t="shared" si="34"/>
        <v>328</v>
      </c>
      <c r="S55" s="52">
        <f>I55-I25</f>
        <v>-470</v>
      </c>
      <c r="T55" s="52">
        <f t="shared" si="33"/>
        <v>-142</v>
      </c>
    </row>
    <row r="56" spans="2:20" s="47" customFormat="1" ht="11.1" customHeight="1" x14ac:dyDescent="0.2">
      <c r="B56" s="180" t="s">
        <v>27</v>
      </c>
      <c r="C56" s="181"/>
      <c r="D56" s="84"/>
      <c r="E56" s="84"/>
      <c r="F56" s="84"/>
      <c r="G56" s="84"/>
      <c r="H56" s="52">
        <f t="shared" si="30"/>
        <v>0</v>
      </c>
      <c r="I56" s="52">
        <v>0</v>
      </c>
      <c r="J56" s="52">
        <f t="shared" si="31"/>
        <v>0</v>
      </c>
      <c r="L56" s="180" t="s">
        <v>27</v>
      </c>
      <c r="M56" s="181"/>
      <c r="N56" s="84">
        <f t="shared" si="38"/>
        <v>0</v>
      </c>
      <c r="O56" s="84">
        <f t="shared" si="38"/>
        <v>0</v>
      </c>
      <c r="P56" s="84">
        <f t="shared" si="38"/>
        <v>0</v>
      </c>
      <c r="Q56" s="84">
        <f t="shared" si="38"/>
        <v>0</v>
      </c>
      <c r="R56" s="52">
        <f t="shared" si="34"/>
        <v>0</v>
      </c>
      <c r="S56" s="52">
        <f>I56-I26</f>
        <v>0</v>
      </c>
      <c r="T56" s="52">
        <f t="shared" si="33"/>
        <v>0</v>
      </c>
    </row>
    <row r="57" spans="2:20" s="47" customFormat="1" ht="11.1" customHeight="1" x14ac:dyDescent="0.2">
      <c r="B57" s="239" t="s">
        <v>207</v>
      </c>
      <c r="C57" s="240"/>
      <c r="D57" s="85">
        <f>D53+D54+D56+D55</f>
        <v>12424.210556045451</v>
      </c>
      <c r="E57" s="85">
        <f>E53+E54+E56+E55</f>
        <v>10851.22961603455</v>
      </c>
      <c r="F57" s="85">
        <f>F53+F54+F56+F55</f>
        <v>20017.333544896159</v>
      </c>
      <c r="G57" s="85">
        <f>G53+G54+G56+G55</f>
        <v>-1734.48</v>
      </c>
      <c r="H57" s="49">
        <f t="shared" si="30"/>
        <v>41558.293716976157</v>
      </c>
      <c r="I57" s="49">
        <f>I53+I54+I56</f>
        <v>0</v>
      </c>
      <c r="J57" s="49">
        <f t="shared" si="31"/>
        <v>41558.293716976157</v>
      </c>
      <c r="L57" s="239" t="s">
        <v>207</v>
      </c>
      <c r="M57" s="240"/>
      <c r="N57" s="85">
        <f t="shared" ref="N57:Q57" si="39">N53+N54+N55+N56</f>
        <v>5252.2105560454511</v>
      </c>
      <c r="O57" s="85">
        <f t="shared" si="39"/>
        <v>4460.2296160345504</v>
      </c>
      <c r="P57" s="85">
        <f t="shared" si="39"/>
        <v>11301.333544896155</v>
      </c>
      <c r="Q57" s="85">
        <f t="shared" si="39"/>
        <v>-1074.17</v>
      </c>
      <c r="R57" s="49">
        <f t="shared" si="34"/>
        <v>19939.603716976155</v>
      </c>
      <c r="S57" s="49">
        <f>S53+S54+S56</f>
        <v>-42767.380000000005</v>
      </c>
      <c r="T57" s="49">
        <f t="shared" si="33"/>
        <v>-22827.77628302385</v>
      </c>
    </row>
    <row r="58" spans="2:20" s="47" customFormat="1" ht="11.1" customHeight="1" x14ac:dyDescent="0.2">
      <c r="B58" s="75" t="s">
        <v>22</v>
      </c>
      <c r="C58" s="76"/>
      <c r="D58" s="85">
        <v>12267</v>
      </c>
      <c r="E58" s="85">
        <v>7891</v>
      </c>
      <c r="F58" s="85">
        <v>4513</v>
      </c>
      <c r="G58" s="85">
        <v>0</v>
      </c>
      <c r="H58" s="49">
        <f t="shared" si="30"/>
        <v>24671</v>
      </c>
      <c r="I58" s="49">
        <v>0</v>
      </c>
      <c r="J58" s="49">
        <f t="shared" si="31"/>
        <v>24671</v>
      </c>
      <c r="L58" s="75" t="s">
        <v>22</v>
      </c>
      <c r="M58" s="76"/>
      <c r="N58" s="85">
        <f>D58-D28</f>
        <v>6303</v>
      </c>
      <c r="O58" s="85">
        <f>E58-E28</f>
        <v>4522</v>
      </c>
      <c r="P58" s="85">
        <f>F58-F28</f>
        <v>2150</v>
      </c>
      <c r="Q58" s="85">
        <f>G58-G28</f>
        <v>0</v>
      </c>
      <c r="R58" s="49">
        <f t="shared" si="34"/>
        <v>12975</v>
      </c>
      <c r="S58" s="49">
        <f>I58-I28</f>
        <v>-23392</v>
      </c>
      <c r="T58" s="49">
        <f t="shared" si="33"/>
        <v>-10417</v>
      </c>
    </row>
    <row r="59" spans="2:20" s="47" customFormat="1" ht="11.1" customHeight="1" x14ac:dyDescent="0.2">
      <c r="B59" s="239" t="s">
        <v>23</v>
      </c>
      <c r="C59" s="240"/>
      <c r="D59" s="85">
        <f t="shared" ref="D59:G59" si="40">D57+D58</f>
        <v>24691.210556045451</v>
      </c>
      <c r="E59" s="85">
        <f t="shared" si="40"/>
        <v>18742.22961603455</v>
      </c>
      <c r="F59" s="85">
        <f t="shared" si="40"/>
        <v>24530.333544896159</v>
      </c>
      <c r="G59" s="85">
        <f t="shared" si="40"/>
        <v>-1734.48</v>
      </c>
      <c r="H59" s="49">
        <f t="shared" si="30"/>
        <v>66229.293716976172</v>
      </c>
      <c r="I59" s="49">
        <f t="shared" ref="I59" si="41">I57+I58</f>
        <v>0</v>
      </c>
      <c r="J59" s="49">
        <f t="shared" si="31"/>
        <v>66229.293716976172</v>
      </c>
      <c r="L59" s="239" t="s">
        <v>23</v>
      </c>
      <c r="M59" s="240"/>
      <c r="N59" s="85">
        <f>N57+N58</f>
        <v>11555.210556045451</v>
      </c>
      <c r="O59" s="85">
        <f t="shared" ref="O59:Q59" si="42">O57+O58</f>
        <v>8982.2296160345504</v>
      </c>
      <c r="P59" s="85">
        <f t="shared" si="42"/>
        <v>13451.333544896155</v>
      </c>
      <c r="Q59" s="85">
        <f t="shared" si="42"/>
        <v>-1074.17</v>
      </c>
      <c r="R59" s="49">
        <f t="shared" si="34"/>
        <v>32914.603716976155</v>
      </c>
      <c r="S59" s="49">
        <f>S57+S58</f>
        <v>-66159.38</v>
      </c>
      <c r="T59" s="49">
        <f t="shared" si="33"/>
        <v>-33244.77628302385</v>
      </c>
    </row>
    <row r="60" spans="2:20" s="47" customFormat="1" ht="11.1" customHeight="1" x14ac:dyDescent="0.2">
      <c r="C60" s="54"/>
      <c r="M60" s="54"/>
    </row>
    <row r="61" spans="2:20" ht="11.1" customHeight="1" x14ac:dyDescent="0.2">
      <c r="B61" s="48"/>
      <c r="C61" s="72"/>
      <c r="D61" s="48"/>
      <c r="E61" s="48"/>
      <c r="F61" s="48"/>
      <c r="G61" s="48"/>
      <c r="H61" s="48"/>
      <c r="I61" s="48"/>
      <c r="J61" s="86"/>
      <c r="L61" s="48"/>
      <c r="M61" s="72"/>
      <c r="N61" s="48"/>
      <c r="O61" s="48"/>
      <c r="P61" s="48"/>
      <c r="Q61" s="48"/>
      <c r="R61" s="48"/>
      <c r="S61" s="48"/>
      <c r="T61" s="86"/>
    </row>
    <row r="62" spans="2:20" ht="11.1" customHeight="1" x14ac:dyDescent="0.2">
      <c r="B62" s="174" t="s">
        <v>59</v>
      </c>
      <c r="C62" s="252"/>
      <c r="D62" s="244" t="s">
        <v>194</v>
      </c>
      <c r="E62" s="244" t="s">
        <v>195</v>
      </c>
      <c r="F62" s="244" t="s">
        <v>196</v>
      </c>
      <c r="G62" s="244" t="s">
        <v>197</v>
      </c>
      <c r="H62" s="244" t="s">
        <v>198</v>
      </c>
      <c r="I62" s="244" t="s">
        <v>199</v>
      </c>
      <c r="J62" s="244" t="s">
        <v>200</v>
      </c>
      <c r="L62" s="174" t="s">
        <v>59</v>
      </c>
      <c r="M62" s="252"/>
      <c r="N62" s="244" t="s">
        <v>194</v>
      </c>
      <c r="O62" s="244" t="s">
        <v>195</v>
      </c>
      <c r="P62" s="244" t="s">
        <v>196</v>
      </c>
      <c r="Q62" s="244" t="s">
        <v>197</v>
      </c>
      <c r="R62" s="244" t="s">
        <v>198</v>
      </c>
      <c r="S62" s="244" t="s">
        <v>199</v>
      </c>
      <c r="T62" s="244" t="s">
        <v>200</v>
      </c>
    </row>
    <row r="63" spans="2:20" ht="11.1" customHeight="1" x14ac:dyDescent="0.2">
      <c r="B63" s="253"/>
      <c r="C63" s="254"/>
      <c r="D63" s="245"/>
      <c r="E63" s="245"/>
      <c r="F63" s="245"/>
      <c r="G63" s="245"/>
      <c r="H63" s="245"/>
      <c r="I63" s="245"/>
      <c r="J63" s="245"/>
      <c r="L63" s="253"/>
      <c r="M63" s="254"/>
      <c r="N63" s="245"/>
      <c r="O63" s="245"/>
      <c r="P63" s="245"/>
      <c r="Q63" s="245"/>
      <c r="R63" s="245"/>
      <c r="S63" s="245"/>
      <c r="T63" s="245"/>
    </row>
    <row r="64" spans="2:20" ht="11.1" customHeight="1" x14ac:dyDescent="0.2">
      <c r="B64" s="250" t="s">
        <v>224</v>
      </c>
      <c r="C64" s="251"/>
      <c r="D64" s="251"/>
      <c r="E64" s="251"/>
      <c r="F64" s="251"/>
      <c r="G64" s="251"/>
      <c r="H64" s="73"/>
      <c r="I64" s="73"/>
      <c r="J64" s="80"/>
      <c r="L64" s="250" t="s">
        <v>225</v>
      </c>
      <c r="M64" s="251"/>
      <c r="N64" s="251"/>
      <c r="O64" s="251"/>
      <c r="P64" s="251"/>
      <c r="Q64" s="251"/>
      <c r="R64" s="73"/>
      <c r="S64" s="73"/>
      <c r="T64" s="80"/>
    </row>
    <row r="65" spans="2:20" ht="11.1" customHeight="1" x14ac:dyDescent="0.2">
      <c r="B65" s="178" t="s">
        <v>202</v>
      </c>
      <c r="C65" s="179"/>
      <c r="D65" s="14">
        <v>335926</v>
      </c>
      <c r="E65" s="14">
        <v>198390</v>
      </c>
      <c r="F65" s="14">
        <v>171754</v>
      </c>
      <c r="G65" s="14"/>
      <c r="H65" s="14">
        <f t="shared" ref="H65:H76" si="43">SUM(D65:G65)</f>
        <v>706070</v>
      </c>
      <c r="I65" s="14"/>
      <c r="J65" s="14">
        <f>H65+I65</f>
        <v>706070</v>
      </c>
      <c r="L65" s="178" t="s">
        <v>202</v>
      </c>
      <c r="M65" s="179"/>
      <c r="N65" s="52">
        <f t="shared" ref="N65:Q66" si="44">D65-D35</f>
        <v>132344</v>
      </c>
      <c r="O65" s="52">
        <f t="shared" si="44"/>
        <v>50857</v>
      </c>
      <c r="P65" s="52">
        <f t="shared" si="44"/>
        <v>60925</v>
      </c>
      <c r="Q65" s="52">
        <f t="shared" si="44"/>
        <v>0</v>
      </c>
      <c r="R65" s="52">
        <f>SUM(N65:Q65)</f>
        <v>244126</v>
      </c>
      <c r="S65" s="52">
        <f>H65-I35</f>
        <v>706070</v>
      </c>
      <c r="T65" s="52">
        <f t="shared" ref="T65:T76" si="45">R65+S65</f>
        <v>950196</v>
      </c>
    </row>
    <row r="66" spans="2:20" ht="11.1" customHeight="1" x14ac:dyDescent="0.2">
      <c r="B66" s="178" t="s">
        <v>33</v>
      </c>
      <c r="C66" s="179"/>
      <c r="D66" s="14">
        <v>257293</v>
      </c>
      <c r="E66" s="14">
        <v>149767</v>
      </c>
      <c r="F66" s="14">
        <v>115185</v>
      </c>
      <c r="G66" s="14"/>
      <c r="H66" s="14">
        <f t="shared" si="43"/>
        <v>522245</v>
      </c>
      <c r="I66" s="14"/>
      <c r="J66" s="14">
        <f t="shared" ref="J66:J76" si="46">H66+I66</f>
        <v>522245</v>
      </c>
      <c r="L66" s="178" t="s">
        <v>33</v>
      </c>
      <c r="M66" s="179"/>
      <c r="N66" s="52">
        <f t="shared" si="44"/>
        <v>102203</v>
      </c>
      <c r="O66" s="52">
        <f t="shared" si="44"/>
        <v>40571</v>
      </c>
      <c r="P66" s="52">
        <f t="shared" si="44"/>
        <v>42061</v>
      </c>
      <c r="Q66" s="52">
        <f t="shared" si="44"/>
        <v>0</v>
      </c>
      <c r="R66" s="52">
        <f t="shared" ref="R66:R76" si="47">SUM(N66:Q66)</f>
        <v>184835</v>
      </c>
      <c r="S66" s="52">
        <f>H66-I36</f>
        <v>522245</v>
      </c>
      <c r="T66" s="52">
        <f t="shared" si="45"/>
        <v>707080</v>
      </c>
    </row>
    <row r="67" spans="2:20" ht="11.1" customHeight="1" x14ac:dyDescent="0.2">
      <c r="B67" s="239" t="s">
        <v>203</v>
      </c>
      <c r="C67" s="240"/>
      <c r="D67" s="7">
        <f>D65-D66</f>
        <v>78633</v>
      </c>
      <c r="E67" s="7">
        <f>E65-E66</f>
        <v>48623</v>
      </c>
      <c r="F67" s="7">
        <f>F65-F66</f>
        <v>56569</v>
      </c>
      <c r="G67" s="7">
        <f>G65-G66</f>
        <v>0</v>
      </c>
      <c r="H67" s="7">
        <f t="shared" si="43"/>
        <v>183825</v>
      </c>
      <c r="I67" s="7">
        <f>I65-I66</f>
        <v>0</v>
      </c>
      <c r="J67" s="7">
        <f t="shared" si="46"/>
        <v>183825</v>
      </c>
      <c r="L67" s="239" t="s">
        <v>203</v>
      </c>
      <c r="M67" s="240"/>
      <c r="N67" s="49">
        <f>N65-N66</f>
        <v>30141</v>
      </c>
      <c r="O67" s="49">
        <f>O65-O66</f>
        <v>10286</v>
      </c>
      <c r="P67" s="49">
        <f>P65-P66</f>
        <v>18864</v>
      </c>
      <c r="Q67" s="49">
        <f>Q65-Q66</f>
        <v>0</v>
      </c>
      <c r="R67" s="49">
        <f t="shared" si="47"/>
        <v>59291</v>
      </c>
      <c r="S67" s="49">
        <f>S65-S66</f>
        <v>183825</v>
      </c>
      <c r="T67" s="49">
        <f t="shared" si="45"/>
        <v>243116</v>
      </c>
    </row>
    <row r="68" spans="2:20" ht="11.1" customHeight="1" x14ac:dyDescent="0.2">
      <c r="B68" s="171" t="s">
        <v>4</v>
      </c>
      <c r="C68" s="172"/>
      <c r="D68" s="14">
        <v>10333</v>
      </c>
      <c r="E68" s="14">
        <v>4386</v>
      </c>
      <c r="F68" s="14">
        <v>9211</v>
      </c>
      <c r="G68" s="14">
        <v>367</v>
      </c>
      <c r="H68" s="14">
        <f t="shared" si="43"/>
        <v>24297</v>
      </c>
      <c r="I68" s="14"/>
      <c r="J68" s="14">
        <f t="shared" si="46"/>
        <v>24297</v>
      </c>
      <c r="L68" s="171" t="s">
        <v>4</v>
      </c>
      <c r="M68" s="172"/>
      <c r="N68" s="52">
        <f t="shared" ref="N68:Q69" si="48">D68-D38</f>
        <v>3199</v>
      </c>
      <c r="O68" s="52">
        <f t="shared" si="48"/>
        <v>1106</v>
      </c>
      <c r="P68" s="52">
        <f t="shared" si="48"/>
        <v>2957</v>
      </c>
      <c r="Q68" s="52">
        <f t="shared" si="48"/>
        <v>112</v>
      </c>
      <c r="R68" s="52">
        <f t="shared" si="47"/>
        <v>7374</v>
      </c>
      <c r="S68" s="52">
        <f>H68-I38</f>
        <v>24297</v>
      </c>
      <c r="T68" s="52">
        <f t="shared" si="45"/>
        <v>31671</v>
      </c>
    </row>
    <row r="69" spans="2:20" ht="11.1" customHeight="1" x14ac:dyDescent="0.2">
      <c r="B69" s="171" t="s">
        <v>5</v>
      </c>
      <c r="C69" s="172"/>
      <c r="D69" s="14">
        <v>40473</v>
      </c>
      <c r="E69" s="14">
        <v>20283</v>
      </c>
      <c r="F69" s="14">
        <v>30335</v>
      </c>
      <c r="G69" s="14">
        <v>2759</v>
      </c>
      <c r="H69" s="14">
        <f t="shared" si="43"/>
        <v>93850</v>
      </c>
      <c r="I69" s="14"/>
      <c r="J69" s="14">
        <f t="shared" si="46"/>
        <v>93850</v>
      </c>
      <c r="L69" s="171" t="s">
        <v>5</v>
      </c>
      <c r="M69" s="172"/>
      <c r="N69" s="52">
        <f t="shared" si="48"/>
        <v>12842</v>
      </c>
      <c r="O69" s="52">
        <f t="shared" si="48"/>
        <v>6297</v>
      </c>
      <c r="P69" s="52">
        <f t="shared" si="48"/>
        <v>10637</v>
      </c>
      <c r="Q69" s="52">
        <f t="shared" si="48"/>
        <v>847</v>
      </c>
      <c r="R69" s="52">
        <f t="shared" si="47"/>
        <v>30623</v>
      </c>
      <c r="S69" s="52">
        <f>H69-I39</f>
        <v>93850</v>
      </c>
      <c r="T69" s="52">
        <f t="shared" si="45"/>
        <v>124473</v>
      </c>
    </row>
    <row r="70" spans="2:20" ht="11.1" customHeight="1" x14ac:dyDescent="0.2">
      <c r="B70" s="239" t="s">
        <v>204</v>
      </c>
      <c r="C70" s="240"/>
      <c r="D70" s="7">
        <f>D67-D68-D69</f>
        <v>27827</v>
      </c>
      <c r="E70" s="7">
        <f>E67-E68-E69</f>
        <v>23954</v>
      </c>
      <c r="F70" s="7">
        <f>F67-F68-F69</f>
        <v>17023</v>
      </c>
      <c r="G70" s="7">
        <f>G67-G68-G69</f>
        <v>-3126</v>
      </c>
      <c r="H70" s="7">
        <f t="shared" si="43"/>
        <v>65678</v>
      </c>
      <c r="I70" s="7">
        <f>I67-I68-I69</f>
        <v>0</v>
      </c>
      <c r="J70" s="7">
        <f t="shared" si="46"/>
        <v>65678</v>
      </c>
      <c r="L70" s="239" t="s">
        <v>204</v>
      </c>
      <c r="M70" s="240"/>
      <c r="N70" s="49">
        <f>N67-N68-N69</f>
        <v>14100</v>
      </c>
      <c r="O70" s="49">
        <f>O67-O68-O69</f>
        <v>2883</v>
      </c>
      <c r="P70" s="49">
        <f>P67-P68-P69</f>
        <v>5270</v>
      </c>
      <c r="Q70" s="49">
        <f>Q67-Q68-Q69</f>
        <v>-959</v>
      </c>
      <c r="R70" s="49">
        <f t="shared" si="47"/>
        <v>21294</v>
      </c>
      <c r="S70" s="49">
        <f>S67-S68-S69</f>
        <v>65678</v>
      </c>
      <c r="T70" s="49">
        <f t="shared" si="45"/>
        <v>86972</v>
      </c>
    </row>
    <row r="71" spans="2:20" ht="11.1" customHeight="1" x14ac:dyDescent="0.2">
      <c r="B71" s="171" t="s">
        <v>205</v>
      </c>
      <c r="C71" s="172"/>
      <c r="D71" s="14">
        <v>-3810</v>
      </c>
      <c r="E71" s="14">
        <v>-748</v>
      </c>
      <c r="F71" s="14">
        <v>-1805</v>
      </c>
      <c r="G71" s="14">
        <v>0</v>
      </c>
      <c r="H71" s="14">
        <f t="shared" si="43"/>
        <v>-6363</v>
      </c>
      <c r="I71" s="14">
        <v>0</v>
      </c>
      <c r="J71" s="14">
        <f t="shared" si="46"/>
        <v>-6363</v>
      </c>
      <c r="L71" s="171" t="s">
        <v>205</v>
      </c>
      <c r="M71" s="172"/>
      <c r="N71" s="52">
        <f t="shared" ref="N71:Q73" si="49">D71-D41</f>
        <v>-2571</v>
      </c>
      <c r="O71" s="52">
        <f t="shared" si="49"/>
        <v>-137</v>
      </c>
      <c r="P71" s="52">
        <f t="shared" si="49"/>
        <v>719</v>
      </c>
      <c r="Q71" s="52">
        <f t="shared" si="49"/>
        <v>0</v>
      </c>
      <c r="R71" s="52">
        <f t="shared" si="47"/>
        <v>-1989</v>
      </c>
      <c r="S71" s="52">
        <f>H71-I41</f>
        <v>-6363</v>
      </c>
      <c r="T71" s="52">
        <f t="shared" si="45"/>
        <v>-8352</v>
      </c>
    </row>
    <row r="72" spans="2:20" ht="11.1" customHeight="1" x14ac:dyDescent="0.2">
      <c r="B72" s="180" t="s">
        <v>206</v>
      </c>
      <c r="C72" s="181"/>
      <c r="D72" s="14">
        <v>0</v>
      </c>
      <c r="E72" s="14">
        <v>0</v>
      </c>
      <c r="F72" s="14">
        <v>859</v>
      </c>
      <c r="G72" s="14">
        <v>0</v>
      </c>
      <c r="H72" s="14">
        <f t="shared" si="43"/>
        <v>859</v>
      </c>
      <c r="I72" s="14"/>
      <c r="J72" s="14">
        <f t="shared" si="46"/>
        <v>859</v>
      </c>
      <c r="L72" s="180" t="s">
        <v>206</v>
      </c>
      <c r="M72" s="181"/>
      <c r="N72" s="52">
        <f t="shared" si="49"/>
        <v>0</v>
      </c>
      <c r="O72" s="52">
        <f t="shared" si="49"/>
        <v>0</v>
      </c>
      <c r="P72" s="52">
        <f t="shared" si="49"/>
        <v>459</v>
      </c>
      <c r="Q72" s="52">
        <f t="shared" si="49"/>
        <v>0</v>
      </c>
      <c r="R72" s="52">
        <f t="shared" si="47"/>
        <v>459</v>
      </c>
      <c r="S72" s="52">
        <f>H72-I42</f>
        <v>859</v>
      </c>
      <c r="T72" s="52">
        <f t="shared" si="45"/>
        <v>1318</v>
      </c>
    </row>
    <row r="73" spans="2:20" ht="11.1" customHeight="1" x14ac:dyDescent="0.2">
      <c r="B73" s="180" t="s">
        <v>27</v>
      </c>
      <c r="C73" s="181"/>
      <c r="D73" s="14"/>
      <c r="E73" s="14"/>
      <c r="F73" s="14"/>
      <c r="G73" s="14"/>
      <c r="H73" s="14">
        <f t="shared" si="43"/>
        <v>0</v>
      </c>
      <c r="I73" s="14">
        <v>0</v>
      </c>
      <c r="J73" s="14">
        <f t="shared" si="46"/>
        <v>0</v>
      </c>
      <c r="L73" s="180" t="s">
        <v>27</v>
      </c>
      <c r="M73" s="181"/>
      <c r="N73" s="52">
        <f t="shared" si="49"/>
        <v>0</v>
      </c>
      <c r="O73" s="52">
        <f t="shared" si="49"/>
        <v>0</v>
      </c>
      <c r="P73" s="52">
        <f t="shared" si="49"/>
        <v>0</v>
      </c>
      <c r="Q73" s="52">
        <f t="shared" si="49"/>
        <v>0</v>
      </c>
      <c r="R73" s="52">
        <f t="shared" si="47"/>
        <v>0</v>
      </c>
      <c r="S73" s="52">
        <f>H73-I43</f>
        <v>0</v>
      </c>
      <c r="T73" s="52">
        <f t="shared" si="45"/>
        <v>0</v>
      </c>
    </row>
    <row r="74" spans="2:20" ht="11.1" customHeight="1" x14ac:dyDescent="0.2">
      <c r="B74" s="239" t="s">
        <v>207</v>
      </c>
      <c r="C74" s="240"/>
      <c r="D74" s="7">
        <f t="shared" ref="D74:G74" si="50">D70+D71+D72+D73</f>
        <v>24017</v>
      </c>
      <c r="E74" s="7">
        <f t="shared" si="50"/>
        <v>23206</v>
      </c>
      <c r="F74" s="7">
        <f t="shared" si="50"/>
        <v>16077</v>
      </c>
      <c r="G74" s="7">
        <f t="shared" si="50"/>
        <v>-3126</v>
      </c>
      <c r="H74" s="7">
        <f t="shared" si="43"/>
        <v>60174</v>
      </c>
      <c r="I74" s="7">
        <f>I70+I71+I73</f>
        <v>0</v>
      </c>
      <c r="J74" s="7">
        <f>H74+I74</f>
        <v>60174</v>
      </c>
      <c r="L74" s="239" t="s">
        <v>207</v>
      </c>
      <c r="M74" s="240"/>
      <c r="N74" s="49">
        <f t="shared" ref="N74:Q74" si="51">N70+N71+N72+N73</f>
        <v>11529</v>
      </c>
      <c r="O74" s="49">
        <f t="shared" si="51"/>
        <v>2746</v>
      </c>
      <c r="P74" s="49">
        <f t="shared" si="51"/>
        <v>6448</v>
      </c>
      <c r="Q74" s="49">
        <f t="shared" si="51"/>
        <v>-959</v>
      </c>
      <c r="R74" s="49">
        <f t="shared" si="47"/>
        <v>19764</v>
      </c>
      <c r="S74" s="49">
        <f>S70+S71+S73</f>
        <v>59315</v>
      </c>
      <c r="T74" s="49">
        <f t="shared" si="45"/>
        <v>79079</v>
      </c>
    </row>
    <row r="75" spans="2:20" ht="11.1" customHeight="1" x14ac:dyDescent="0.2">
      <c r="B75" s="75" t="s">
        <v>22</v>
      </c>
      <c r="C75" s="76"/>
      <c r="D75" s="7">
        <v>20106</v>
      </c>
      <c r="E75" s="7">
        <v>11777</v>
      </c>
      <c r="F75" s="7">
        <v>7606</v>
      </c>
      <c r="G75" s="7">
        <v>0</v>
      </c>
      <c r="H75" s="7">
        <f t="shared" si="43"/>
        <v>39489</v>
      </c>
      <c r="I75" s="7">
        <v>0</v>
      </c>
      <c r="J75" s="7">
        <f t="shared" si="46"/>
        <v>39489</v>
      </c>
      <c r="L75" s="75" t="s">
        <v>22</v>
      </c>
      <c r="M75" s="76"/>
      <c r="N75" s="49">
        <f>D75-D45</f>
        <v>6735</v>
      </c>
      <c r="O75" s="49">
        <f>E75-E45</f>
        <v>4109</v>
      </c>
      <c r="P75" s="49">
        <f>F75-F45</f>
        <v>2875</v>
      </c>
      <c r="Q75" s="49">
        <f>G75-G45</f>
        <v>0</v>
      </c>
      <c r="R75" s="49">
        <f t="shared" si="47"/>
        <v>13719</v>
      </c>
      <c r="S75" s="49">
        <f>H75-I45</f>
        <v>39489</v>
      </c>
      <c r="T75" s="49">
        <f t="shared" si="45"/>
        <v>53208</v>
      </c>
    </row>
    <row r="76" spans="2:20" ht="11.1" customHeight="1" x14ac:dyDescent="0.2">
      <c r="B76" s="239" t="s">
        <v>23</v>
      </c>
      <c r="C76" s="240"/>
      <c r="D76" s="7">
        <f>D74+D75</f>
        <v>44123</v>
      </c>
      <c r="E76" s="7">
        <f t="shared" ref="E76:G76" si="52">E74+E75</f>
        <v>34983</v>
      </c>
      <c r="F76" s="7">
        <f t="shared" si="52"/>
        <v>23683</v>
      </c>
      <c r="G76" s="7">
        <f t="shared" si="52"/>
        <v>-3126</v>
      </c>
      <c r="H76" s="7">
        <f t="shared" si="43"/>
        <v>99663</v>
      </c>
      <c r="I76" s="7">
        <f>I74+I75</f>
        <v>0</v>
      </c>
      <c r="J76" s="7">
        <f t="shared" si="46"/>
        <v>99663</v>
      </c>
      <c r="L76" s="239" t="s">
        <v>23</v>
      </c>
      <c r="M76" s="240"/>
      <c r="N76" s="49">
        <f>N74+N75</f>
        <v>18264</v>
      </c>
      <c r="O76" s="49">
        <f t="shared" ref="O76:Q76" si="53">O74+O75</f>
        <v>6855</v>
      </c>
      <c r="P76" s="49">
        <f t="shared" si="53"/>
        <v>9323</v>
      </c>
      <c r="Q76" s="49">
        <f t="shared" si="53"/>
        <v>-959</v>
      </c>
      <c r="R76" s="49">
        <f t="shared" si="47"/>
        <v>33483</v>
      </c>
      <c r="S76" s="49">
        <f>S74+S75</f>
        <v>98804</v>
      </c>
      <c r="T76" s="49">
        <f t="shared" si="45"/>
        <v>132287</v>
      </c>
    </row>
    <row r="77" spans="2:20" ht="11.1" customHeight="1" x14ac:dyDescent="0.2">
      <c r="B77" s="250" t="s">
        <v>213</v>
      </c>
      <c r="C77" s="251"/>
      <c r="D77" s="251"/>
      <c r="E77" s="251"/>
      <c r="F77" s="251"/>
      <c r="G77" s="251"/>
      <c r="H77" s="73"/>
      <c r="I77" s="73"/>
      <c r="J77" s="80"/>
      <c r="L77" s="250" t="s">
        <v>214</v>
      </c>
      <c r="M77" s="251"/>
      <c r="N77" s="251"/>
      <c r="O77" s="251"/>
      <c r="P77" s="251"/>
      <c r="Q77" s="251"/>
      <c r="R77" s="73"/>
      <c r="S77" s="73"/>
      <c r="T77" s="80"/>
    </row>
    <row r="78" spans="2:20" ht="11.1" customHeight="1" x14ac:dyDescent="0.2">
      <c r="B78" s="178" t="s">
        <v>202</v>
      </c>
      <c r="C78" s="179"/>
      <c r="D78" s="14">
        <v>279614</v>
      </c>
      <c r="E78" s="14">
        <v>174546</v>
      </c>
      <c r="F78" s="14">
        <v>189596</v>
      </c>
      <c r="G78" s="14"/>
      <c r="H78" s="14">
        <f t="shared" ref="H78:H89" si="54">SUM(D78:G78)</f>
        <v>643756</v>
      </c>
      <c r="I78" s="14">
        <v>0</v>
      </c>
      <c r="J78" s="14">
        <f>H78+I78</f>
        <v>643756</v>
      </c>
      <c r="L78" s="178" t="s">
        <v>202</v>
      </c>
      <c r="M78" s="179"/>
      <c r="N78" s="52">
        <f t="shared" ref="N78:Q79" si="55">D78-D48</f>
        <v>94503</v>
      </c>
      <c r="O78" s="52">
        <f t="shared" si="55"/>
        <v>63327</v>
      </c>
      <c r="P78" s="52">
        <f t="shared" si="55"/>
        <v>62665</v>
      </c>
      <c r="Q78" s="52">
        <f t="shared" si="55"/>
        <v>0</v>
      </c>
      <c r="R78" s="52">
        <f>SUM(N78:Q78)</f>
        <v>220495</v>
      </c>
      <c r="S78" s="52">
        <f>H78-I48</f>
        <v>643756</v>
      </c>
      <c r="T78" s="52">
        <f t="shared" ref="T78:T89" si="56">R78+S78</f>
        <v>864251</v>
      </c>
    </row>
    <row r="79" spans="2:20" ht="11.1" customHeight="1" x14ac:dyDescent="0.2">
      <c r="B79" s="178" t="s">
        <v>33</v>
      </c>
      <c r="C79" s="179"/>
      <c r="D79" s="14">
        <v>206048</v>
      </c>
      <c r="E79" s="14">
        <v>134638</v>
      </c>
      <c r="F79" s="14">
        <v>120481</v>
      </c>
      <c r="G79" s="14"/>
      <c r="H79" s="14">
        <f t="shared" si="54"/>
        <v>461167</v>
      </c>
      <c r="I79" s="14">
        <v>0</v>
      </c>
      <c r="J79" s="14">
        <f t="shared" ref="J79:J89" si="57">H79+I79</f>
        <v>461167</v>
      </c>
      <c r="L79" s="178" t="s">
        <v>33</v>
      </c>
      <c r="M79" s="179"/>
      <c r="N79" s="52">
        <f t="shared" si="55"/>
        <v>71865</v>
      </c>
      <c r="O79" s="52">
        <f t="shared" si="55"/>
        <v>49420</v>
      </c>
      <c r="P79" s="52">
        <f t="shared" si="55"/>
        <v>42677</v>
      </c>
      <c r="Q79" s="52">
        <f t="shared" si="55"/>
        <v>0</v>
      </c>
      <c r="R79" s="52">
        <f t="shared" ref="R79:R89" si="58">SUM(N79:Q79)</f>
        <v>163962</v>
      </c>
      <c r="S79" s="52">
        <f>H79-I49</f>
        <v>461167</v>
      </c>
      <c r="T79" s="52">
        <f t="shared" si="56"/>
        <v>625129</v>
      </c>
    </row>
    <row r="80" spans="2:20" ht="11.1" customHeight="1" x14ac:dyDescent="0.2">
      <c r="B80" s="239" t="s">
        <v>203</v>
      </c>
      <c r="C80" s="240"/>
      <c r="D80" s="7">
        <f>D78-D79</f>
        <v>73566</v>
      </c>
      <c r="E80" s="7">
        <f>E78-E79</f>
        <v>39908</v>
      </c>
      <c r="F80" s="7">
        <f>F78-F79</f>
        <v>69115</v>
      </c>
      <c r="G80" s="7">
        <f>G78-G79</f>
        <v>0</v>
      </c>
      <c r="H80" s="7">
        <f t="shared" si="54"/>
        <v>182589</v>
      </c>
      <c r="I80" s="7">
        <f>I78-I79</f>
        <v>0</v>
      </c>
      <c r="J80" s="7">
        <f t="shared" si="57"/>
        <v>182589</v>
      </c>
      <c r="L80" s="239" t="s">
        <v>203</v>
      </c>
      <c r="M80" s="240"/>
      <c r="N80" s="49">
        <f>N78-N79</f>
        <v>22638</v>
      </c>
      <c r="O80" s="49">
        <f>O78-O79</f>
        <v>13907</v>
      </c>
      <c r="P80" s="49">
        <f>P78-P79</f>
        <v>19988</v>
      </c>
      <c r="Q80" s="49">
        <f>Q78-Q79</f>
        <v>0</v>
      </c>
      <c r="R80" s="49">
        <f t="shared" si="58"/>
        <v>56533</v>
      </c>
      <c r="S80" s="49">
        <f>S78-S79</f>
        <v>182589</v>
      </c>
      <c r="T80" s="49">
        <f t="shared" si="56"/>
        <v>239122</v>
      </c>
    </row>
    <row r="81" spans="2:20" ht="11.1" customHeight="1" x14ac:dyDescent="0.2">
      <c r="B81" s="171" t="s">
        <v>4</v>
      </c>
      <c r="C81" s="172"/>
      <c r="D81" s="14">
        <v>12372</v>
      </c>
      <c r="E81" s="14">
        <v>4438</v>
      </c>
      <c r="F81" s="14">
        <v>11621</v>
      </c>
      <c r="G81" s="14">
        <v>283</v>
      </c>
      <c r="H81" s="14">
        <f t="shared" si="54"/>
        <v>28714</v>
      </c>
      <c r="I81" s="14">
        <v>0</v>
      </c>
      <c r="J81" s="14">
        <f t="shared" si="57"/>
        <v>28714</v>
      </c>
      <c r="L81" s="171" t="s">
        <v>4</v>
      </c>
      <c r="M81" s="172"/>
      <c r="N81" s="52">
        <f t="shared" ref="N81:Q82" si="59">D81-D51</f>
        <v>4073.2105560454493</v>
      </c>
      <c r="O81" s="52">
        <f t="shared" si="59"/>
        <v>1601.22961603455</v>
      </c>
      <c r="P81" s="52">
        <f t="shared" si="59"/>
        <v>3588.3573799999976</v>
      </c>
      <c r="Q81" s="52">
        <f t="shared" si="59"/>
        <v>91.669999999999987</v>
      </c>
      <c r="R81" s="52">
        <f t="shared" si="58"/>
        <v>9354.4675520799974</v>
      </c>
      <c r="S81" s="52">
        <f>H81-I51</f>
        <v>28714</v>
      </c>
      <c r="T81" s="52">
        <f t="shared" si="56"/>
        <v>38068.467552079994</v>
      </c>
    </row>
    <row r="82" spans="2:20" ht="11.1" customHeight="1" x14ac:dyDescent="0.2">
      <c r="B82" s="171" t="s">
        <v>5</v>
      </c>
      <c r="C82" s="172"/>
      <c r="D82" s="14">
        <v>42964</v>
      </c>
      <c r="E82" s="14">
        <v>18608</v>
      </c>
      <c r="F82" s="14">
        <v>29662</v>
      </c>
      <c r="G82" s="14">
        <v>2163</v>
      </c>
      <c r="H82" s="14">
        <f t="shared" si="54"/>
        <v>93397</v>
      </c>
      <c r="I82" s="14">
        <v>0</v>
      </c>
      <c r="J82" s="14">
        <f t="shared" si="57"/>
        <v>93397</v>
      </c>
      <c r="L82" s="171" t="s">
        <v>5</v>
      </c>
      <c r="M82" s="172"/>
      <c r="N82" s="52">
        <f t="shared" si="59"/>
        <v>13183</v>
      </c>
      <c r="O82" s="52">
        <f t="shared" si="59"/>
        <v>6331</v>
      </c>
      <c r="P82" s="52">
        <f t="shared" si="59"/>
        <v>9408.9761648961576</v>
      </c>
      <c r="Q82" s="52">
        <f t="shared" si="59"/>
        <v>619.84999999999991</v>
      </c>
      <c r="R82" s="52">
        <f t="shared" si="58"/>
        <v>29542.826164896156</v>
      </c>
      <c r="S82" s="52">
        <f>H82-I52</f>
        <v>93397</v>
      </c>
      <c r="T82" s="52">
        <f t="shared" si="56"/>
        <v>122939.82616489616</v>
      </c>
    </row>
    <row r="83" spans="2:20" ht="11.1" customHeight="1" x14ac:dyDescent="0.2">
      <c r="B83" s="239" t="s">
        <v>204</v>
      </c>
      <c r="C83" s="240"/>
      <c r="D83" s="7">
        <f>D80-D81-D82</f>
        <v>18230</v>
      </c>
      <c r="E83" s="7">
        <f>E80-E81-E82</f>
        <v>16862</v>
      </c>
      <c r="F83" s="7">
        <f>F80-F81-F82</f>
        <v>27832</v>
      </c>
      <c r="G83" s="7">
        <f>G80-G81-G82</f>
        <v>-2446</v>
      </c>
      <c r="H83" s="7">
        <f t="shared" si="54"/>
        <v>60478</v>
      </c>
      <c r="I83" s="7">
        <f>I80-I81-I82</f>
        <v>0</v>
      </c>
      <c r="J83" s="7">
        <f t="shared" si="57"/>
        <v>60478</v>
      </c>
      <c r="L83" s="239" t="s">
        <v>204</v>
      </c>
      <c r="M83" s="240"/>
      <c r="N83" s="49">
        <f>N80-N81-N82</f>
        <v>5381.7894439545489</v>
      </c>
      <c r="O83" s="49">
        <f>O80-O81-O82</f>
        <v>5974.7703839654496</v>
      </c>
      <c r="P83" s="49">
        <f>P80-P81-P82</f>
        <v>6990.6664551038448</v>
      </c>
      <c r="Q83" s="49">
        <f>Q80-Q81-Q82</f>
        <v>-711.51999999999987</v>
      </c>
      <c r="R83" s="49">
        <f t="shared" si="58"/>
        <v>17635.706283023843</v>
      </c>
      <c r="S83" s="49">
        <f>S80-S81-S82</f>
        <v>60478</v>
      </c>
      <c r="T83" s="49">
        <f t="shared" si="56"/>
        <v>78113.706283023843</v>
      </c>
    </row>
    <row r="84" spans="2:20" ht="11.1" customHeight="1" x14ac:dyDescent="0.2">
      <c r="B84" s="171" t="s">
        <v>205</v>
      </c>
      <c r="C84" s="172"/>
      <c r="D84" s="14">
        <v>-798</v>
      </c>
      <c r="E84" s="14">
        <v>1797</v>
      </c>
      <c r="F84" s="14">
        <v>-2042</v>
      </c>
      <c r="G84" s="14"/>
      <c r="H84" s="14">
        <f t="shared" si="54"/>
        <v>-1043</v>
      </c>
      <c r="I84" s="14"/>
      <c r="J84" s="14">
        <f t="shared" si="57"/>
        <v>-1043</v>
      </c>
      <c r="L84" s="171" t="s">
        <v>205</v>
      </c>
      <c r="M84" s="172"/>
      <c r="N84" s="52">
        <f t="shared" ref="N84:Q86" si="60">D84-D54</f>
        <v>-374</v>
      </c>
      <c r="O84" s="52">
        <f t="shared" si="60"/>
        <v>1833</v>
      </c>
      <c r="P84" s="52">
        <f t="shared" si="60"/>
        <v>-655</v>
      </c>
      <c r="Q84" s="52">
        <f t="shared" si="60"/>
        <v>0</v>
      </c>
      <c r="R84" s="52">
        <f t="shared" si="58"/>
        <v>804</v>
      </c>
      <c r="S84" s="52">
        <f>H84-I54</f>
        <v>-1043</v>
      </c>
      <c r="T84" s="52">
        <f t="shared" si="56"/>
        <v>-239</v>
      </c>
    </row>
    <row r="85" spans="2:20" ht="11.1" customHeight="1" x14ac:dyDescent="0.2">
      <c r="B85" s="180" t="s">
        <v>206</v>
      </c>
      <c r="C85" s="181"/>
      <c r="D85" s="14">
        <v>0</v>
      </c>
      <c r="E85" s="14">
        <v>0</v>
      </c>
      <c r="F85" s="14">
        <v>1166</v>
      </c>
      <c r="G85" s="14"/>
      <c r="H85" s="14">
        <f t="shared" si="54"/>
        <v>1166</v>
      </c>
      <c r="I85" s="14"/>
      <c r="J85" s="14">
        <f t="shared" si="57"/>
        <v>1166</v>
      </c>
      <c r="L85" s="180" t="s">
        <v>206</v>
      </c>
      <c r="M85" s="181"/>
      <c r="N85" s="52">
        <f t="shared" si="60"/>
        <v>0</v>
      </c>
      <c r="O85" s="52">
        <f t="shared" si="60"/>
        <v>0</v>
      </c>
      <c r="P85" s="52">
        <f t="shared" si="60"/>
        <v>603</v>
      </c>
      <c r="Q85" s="52">
        <f t="shared" si="60"/>
        <v>0</v>
      </c>
      <c r="R85" s="52">
        <f t="shared" si="58"/>
        <v>603</v>
      </c>
      <c r="S85" s="52">
        <f>H85-I55</f>
        <v>1166</v>
      </c>
      <c r="T85" s="52">
        <f t="shared" si="56"/>
        <v>1769</v>
      </c>
    </row>
    <row r="86" spans="2:20" ht="11.1" customHeight="1" x14ac:dyDescent="0.2">
      <c r="B86" s="180" t="s">
        <v>27</v>
      </c>
      <c r="C86" s="181"/>
      <c r="D86" s="14">
        <v>0</v>
      </c>
      <c r="E86" s="14"/>
      <c r="F86" s="14"/>
      <c r="G86" s="14">
        <v>0</v>
      </c>
      <c r="H86" s="14">
        <f t="shared" si="54"/>
        <v>0</v>
      </c>
      <c r="I86" s="14">
        <v>0</v>
      </c>
      <c r="J86" s="14">
        <f t="shared" si="57"/>
        <v>0</v>
      </c>
      <c r="L86" s="180" t="s">
        <v>27</v>
      </c>
      <c r="M86" s="181"/>
      <c r="N86" s="52">
        <f t="shared" si="60"/>
        <v>0</v>
      </c>
      <c r="O86" s="52">
        <f t="shared" si="60"/>
        <v>0</v>
      </c>
      <c r="P86" s="52">
        <f t="shared" si="60"/>
        <v>0</v>
      </c>
      <c r="Q86" s="52">
        <f t="shared" si="60"/>
        <v>0</v>
      </c>
      <c r="R86" s="52">
        <f t="shared" si="58"/>
        <v>0</v>
      </c>
      <c r="S86" s="52">
        <f>H86-I56</f>
        <v>0</v>
      </c>
      <c r="T86" s="52">
        <f t="shared" si="56"/>
        <v>0</v>
      </c>
    </row>
    <row r="87" spans="2:20" ht="11.1" customHeight="1" x14ac:dyDescent="0.2">
      <c r="B87" s="239" t="s">
        <v>207</v>
      </c>
      <c r="C87" s="240"/>
      <c r="D87" s="7">
        <f>D83+D84+D85+D86</f>
        <v>17432</v>
      </c>
      <c r="E87" s="7">
        <f>E83+E84+E85+E86</f>
        <v>18659</v>
      </c>
      <c r="F87" s="7">
        <f>F83+F84+F85+F86</f>
        <v>26956</v>
      </c>
      <c r="G87" s="7">
        <f>G83+G84+G85+G86</f>
        <v>-2446</v>
      </c>
      <c r="H87" s="7">
        <f t="shared" si="54"/>
        <v>60601</v>
      </c>
      <c r="I87" s="7">
        <f>I83+I84+I86</f>
        <v>0</v>
      </c>
      <c r="J87" s="7">
        <f t="shared" si="57"/>
        <v>60601</v>
      </c>
      <c r="L87" s="239" t="s">
        <v>207</v>
      </c>
      <c r="M87" s="240"/>
      <c r="N87" s="49">
        <f t="shared" ref="N87:Q87" si="61">N83+N84+N85+N86</f>
        <v>5007.7894439545489</v>
      </c>
      <c r="O87" s="49">
        <f t="shared" si="61"/>
        <v>7807.7703839654496</v>
      </c>
      <c r="P87" s="49">
        <f t="shared" si="61"/>
        <v>6938.6664551038448</v>
      </c>
      <c r="Q87" s="49">
        <f t="shared" si="61"/>
        <v>-711.51999999999987</v>
      </c>
      <c r="R87" s="49">
        <f t="shared" si="58"/>
        <v>19042.706283023843</v>
      </c>
      <c r="S87" s="49">
        <f>S83+S84+S86</f>
        <v>59435</v>
      </c>
      <c r="T87" s="49">
        <f t="shared" si="56"/>
        <v>78477.706283023843</v>
      </c>
    </row>
    <row r="88" spans="2:20" ht="11.1" customHeight="1" x14ac:dyDescent="0.2">
      <c r="B88" s="75" t="s">
        <v>22</v>
      </c>
      <c r="C88" s="76"/>
      <c r="D88" s="7">
        <v>18524</v>
      </c>
      <c r="E88" s="7">
        <v>11697</v>
      </c>
      <c r="F88" s="7">
        <v>6811</v>
      </c>
      <c r="G88" s="7">
        <v>0</v>
      </c>
      <c r="H88" s="7">
        <f t="shared" si="54"/>
        <v>37032</v>
      </c>
      <c r="I88" s="7"/>
      <c r="J88" s="7">
        <f t="shared" si="57"/>
        <v>37032</v>
      </c>
      <c r="L88" s="75" t="s">
        <v>22</v>
      </c>
      <c r="M88" s="76"/>
      <c r="N88" s="49">
        <f>D88-D58</f>
        <v>6257</v>
      </c>
      <c r="O88" s="49">
        <f>E88-E58</f>
        <v>3806</v>
      </c>
      <c r="P88" s="49">
        <f>F88-F58</f>
        <v>2298</v>
      </c>
      <c r="Q88" s="49">
        <f>G88-G58</f>
        <v>0</v>
      </c>
      <c r="R88" s="49">
        <f t="shared" si="58"/>
        <v>12361</v>
      </c>
      <c r="S88" s="49">
        <f>H88-I58</f>
        <v>37032</v>
      </c>
      <c r="T88" s="49">
        <f t="shared" si="56"/>
        <v>49393</v>
      </c>
    </row>
    <row r="89" spans="2:20" ht="11.1" customHeight="1" x14ac:dyDescent="0.2">
      <c r="B89" s="239" t="s">
        <v>23</v>
      </c>
      <c r="C89" s="240"/>
      <c r="D89" s="7">
        <f>D87+D88</f>
        <v>35956</v>
      </c>
      <c r="E89" s="7">
        <f t="shared" ref="E89:G89" si="62">E87+E88</f>
        <v>30356</v>
      </c>
      <c r="F89" s="7">
        <f t="shared" si="62"/>
        <v>33767</v>
      </c>
      <c r="G89" s="7">
        <f t="shared" si="62"/>
        <v>-2446</v>
      </c>
      <c r="H89" s="7">
        <f t="shared" si="54"/>
        <v>97633</v>
      </c>
      <c r="I89" s="7">
        <f t="shared" ref="I89" si="63">I87+I88</f>
        <v>0</v>
      </c>
      <c r="J89" s="7">
        <f t="shared" si="57"/>
        <v>97633</v>
      </c>
      <c r="L89" s="239" t="s">
        <v>23</v>
      </c>
      <c r="M89" s="240"/>
      <c r="N89" s="49">
        <f>N87+N88</f>
        <v>11264.789443954549</v>
      </c>
      <c r="O89" s="49">
        <f t="shared" ref="O89:Q89" si="64">O87+O88</f>
        <v>11613.77038396545</v>
      </c>
      <c r="P89" s="49">
        <f t="shared" si="64"/>
        <v>9236.6664551038448</v>
      </c>
      <c r="Q89" s="49">
        <f t="shared" si="64"/>
        <v>-711.51999999999987</v>
      </c>
      <c r="R89" s="49">
        <f t="shared" si="58"/>
        <v>31403.706283023843</v>
      </c>
      <c r="S89" s="49">
        <f>S87+S88</f>
        <v>96467</v>
      </c>
      <c r="T89" s="49">
        <f t="shared" si="56"/>
        <v>127870.70628302384</v>
      </c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86"/>
      <c r="L91" s="48"/>
      <c r="M91" s="72"/>
      <c r="N91" s="48"/>
      <c r="O91" s="48"/>
      <c r="P91" s="48"/>
      <c r="Q91" s="48"/>
      <c r="R91" s="48"/>
      <c r="S91" s="48"/>
      <c r="T91" s="86"/>
    </row>
    <row r="92" spans="2:20" ht="11.1" customHeight="1" x14ac:dyDescent="0.2">
      <c r="B92" s="174" t="s">
        <v>59</v>
      </c>
      <c r="C92" s="252"/>
      <c r="D92" s="244" t="s">
        <v>194</v>
      </c>
      <c r="E92" s="244" t="s">
        <v>195</v>
      </c>
      <c r="F92" s="244" t="s">
        <v>196</v>
      </c>
      <c r="G92" s="244" t="s">
        <v>197</v>
      </c>
      <c r="H92" s="244" t="s">
        <v>198</v>
      </c>
      <c r="I92" s="244" t="s">
        <v>199</v>
      </c>
      <c r="J92" s="244" t="s">
        <v>200</v>
      </c>
      <c r="L92" s="174" t="s">
        <v>59</v>
      </c>
      <c r="M92" s="252"/>
      <c r="N92" s="244" t="s">
        <v>194</v>
      </c>
      <c r="O92" s="244" t="s">
        <v>195</v>
      </c>
      <c r="P92" s="244" t="s">
        <v>196</v>
      </c>
      <c r="Q92" s="244" t="s">
        <v>197</v>
      </c>
      <c r="R92" s="244" t="s">
        <v>198</v>
      </c>
      <c r="S92" s="244" t="s">
        <v>199</v>
      </c>
      <c r="T92" s="244" t="s">
        <v>200</v>
      </c>
    </row>
    <row r="93" spans="2:20" ht="11.1" customHeight="1" x14ac:dyDescent="0.2">
      <c r="B93" s="253"/>
      <c r="C93" s="254"/>
      <c r="D93" s="245"/>
      <c r="E93" s="245"/>
      <c r="F93" s="245"/>
      <c r="G93" s="245"/>
      <c r="H93" s="245"/>
      <c r="I93" s="245"/>
      <c r="J93" s="245"/>
      <c r="L93" s="253"/>
      <c r="M93" s="254"/>
      <c r="N93" s="245"/>
      <c r="O93" s="245"/>
      <c r="P93" s="245"/>
      <c r="Q93" s="245"/>
      <c r="R93" s="245"/>
      <c r="S93" s="245"/>
      <c r="T93" s="245"/>
    </row>
    <row r="94" spans="2:20" ht="11.1" customHeight="1" x14ac:dyDescent="0.2">
      <c r="B94" s="250" t="s">
        <v>226</v>
      </c>
      <c r="C94" s="251"/>
      <c r="D94" s="251"/>
      <c r="E94" s="251"/>
      <c r="F94" s="251"/>
      <c r="G94" s="251"/>
      <c r="H94" s="73"/>
      <c r="I94" s="73"/>
      <c r="J94" s="80"/>
      <c r="L94" s="250" t="s">
        <v>227</v>
      </c>
      <c r="M94" s="251"/>
      <c r="N94" s="251"/>
      <c r="O94" s="251"/>
      <c r="P94" s="251"/>
      <c r="Q94" s="251"/>
      <c r="R94" s="73"/>
      <c r="S94" s="73"/>
      <c r="T94" s="80"/>
    </row>
    <row r="95" spans="2:20" ht="11.1" customHeight="1" x14ac:dyDescent="0.2">
      <c r="B95" s="178" t="s">
        <v>202</v>
      </c>
      <c r="C95" s="179"/>
      <c r="D95" s="52"/>
      <c r="E95" s="52"/>
      <c r="F95" s="52"/>
      <c r="G95" s="52"/>
      <c r="H95" s="52"/>
      <c r="I95" s="52"/>
      <c r="J95" s="52"/>
      <c r="L95" s="178" t="s">
        <v>202</v>
      </c>
      <c r="M95" s="179"/>
      <c r="N95" s="52">
        <f t="shared" ref="N95:Q96" si="65">D95-D65</f>
        <v>-335926</v>
      </c>
      <c r="O95" s="52">
        <f t="shared" si="65"/>
        <v>-198390</v>
      </c>
      <c r="P95" s="52">
        <f t="shared" si="65"/>
        <v>-171754</v>
      </c>
      <c r="Q95" s="52">
        <f t="shared" si="65"/>
        <v>0</v>
      </c>
      <c r="R95" s="52">
        <f>SUM(N95:Q95)</f>
        <v>-706070</v>
      </c>
      <c r="S95" s="52">
        <f>I95-H65</f>
        <v>-706070</v>
      </c>
      <c r="T95" s="52">
        <f t="shared" ref="T95:T106" si="66">R95+S95</f>
        <v>-1412140</v>
      </c>
    </row>
    <row r="96" spans="2:20" ht="11.1" customHeight="1" x14ac:dyDescent="0.2">
      <c r="B96" s="178" t="s">
        <v>33</v>
      </c>
      <c r="C96" s="179"/>
      <c r="D96" s="52"/>
      <c r="E96" s="52"/>
      <c r="F96" s="52"/>
      <c r="G96" s="52"/>
      <c r="H96" s="52"/>
      <c r="I96" s="52"/>
      <c r="J96" s="52"/>
      <c r="L96" s="178" t="s">
        <v>33</v>
      </c>
      <c r="M96" s="179"/>
      <c r="N96" s="52">
        <f t="shared" si="65"/>
        <v>-257293</v>
      </c>
      <c r="O96" s="52">
        <f t="shared" si="65"/>
        <v>-149767</v>
      </c>
      <c r="P96" s="52">
        <f t="shared" si="65"/>
        <v>-115185</v>
      </c>
      <c r="Q96" s="52">
        <f t="shared" si="65"/>
        <v>0</v>
      </c>
      <c r="R96" s="52">
        <f t="shared" ref="R96:R106" si="67">SUM(N96:Q96)</f>
        <v>-522245</v>
      </c>
      <c r="S96" s="52">
        <f>I96-H66</f>
        <v>-522245</v>
      </c>
      <c r="T96" s="52">
        <f t="shared" si="66"/>
        <v>-1044490</v>
      </c>
    </row>
    <row r="97" spans="2:20" ht="11.1" customHeight="1" x14ac:dyDescent="0.2">
      <c r="B97" s="239" t="s">
        <v>203</v>
      </c>
      <c r="C97" s="240"/>
      <c r="D97" s="49"/>
      <c r="E97" s="49"/>
      <c r="F97" s="49"/>
      <c r="G97" s="49"/>
      <c r="H97" s="49"/>
      <c r="I97" s="49"/>
      <c r="J97" s="49"/>
      <c r="L97" s="239" t="s">
        <v>203</v>
      </c>
      <c r="M97" s="240"/>
      <c r="N97" s="49">
        <f>N95-N96</f>
        <v>-78633</v>
      </c>
      <c r="O97" s="49">
        <f>O95-O96</f>
        <v>-48623</v>
      </c>
      <c r="P97" s="49">
        <f>P95-P96</f>
        <v>-56569</v>
      </c>
      <c r="Q97" s="49">
        <f>Q95-Q96</f>
        <v>0</v>
      </c>
      <c r="R97" s="49">
        <f t="shared" si="67"/>
        <v>-183825</v>
      </c>
      <c r="S97" s="49">
        <f>S95-S96</f>
        <v>-183825</v>
      </c>
      <c r="T97" s="49">
        <f t="shared" si="66"/>
        <v>-367650</v>
      </c>
    </row>
    <row r="98" spans="2:20" ht="11.1" customHeight="1" x14ac:dyDescent="0.2">
      <c r="B98" s="171" t="s">
        <v>4</v>
      </c>
      <c r="C98" s="172"/>
      <c r="D98" s="52"/>
      <c r="E98" s="52"/>
      <c r="F98" s="52"/>
      <c r="G98" s="52"/>
      <c r="H98" s="52"/>
      <c r="I98" s="52"/>
      <c r="J98" s="52"/>
      <c r="L98" s="171" t="s">
        <v>4</v>
      </c>
      <c r="M98" s="172"/>
      <c r="N98" s="52">
        <f t="shared" ref="N98:Q99" si="68">D98-D68</f>
        <v>-10333</v>
      </c>
      <c r="O98" s="52">
        <f t="shared" si="68"/>
        <v>-4386</v>
      </c>
      <c r="P98" s="52">
        <f t="shared" si="68"/>
        <v>-9211</v>
      </c>
      <c r="Q98" s="52">
        <f t="shared" si="68"/>
        <v>-367</v>
      </c>
      <c r="R98" s="52">
        <f t="shared" si="67"/>
        <v>-24297</v>
      </c>
      <c r="S98" s="52">
        <f>I98-H68</f>
        <v>-24297</v>
      </c>
      <c r="T98" s="52">
        <f t="shared" si="66"/>
        <v>-48594</v>
      </c>
    </row>
    <row r="99" spans="2:20" ht="11.1" customHeight="1" x14ac:dyDescent="0.2">
      <c r="B99" s="171" t="s">
        <v>5</v>
      </c>
      <c r="C99" s="172"/>
      <c r="D99" s="52"/>
      <c r="E99" s="52"/>
      <c r="F99" s="52"/>
      <c r="G99" s="52"/>
      <c r="H99" s="52"/>
      <c r="I99" s="52"/>
      <c r="J99" s="52"/>
      <c r="L99" s="171" t="s">
        <v>5</v>
      </c>
      <c r="M99" s="172"/>
      <c r="N99" s="52">
        <f t="shared" si="68"/>
        <v>-40473</v>
      </c>
      <c r="O99" s="52">
        <f t="shared" si="68"/>
        <v>-20283</v>
      </c>
      <c r="P99" s="52">
        <f t="shared" si="68"/>
        <v>-30335</v>
      </c>
      <c r="Q99" s="52">
        <f t="shared" si="68"/>
        <v>-2759</v>
      </c>
      <c r="R99" s="52">
        <f t="shared" si="67"/>
        <v>-93850</v>
      </c>
      <c r="S99" s="52">
        <f>I99-H69</f>
        <v>-93850</v>
      </c>
      <c r="T99" s="52">
        <f t="shared" si="66"/>
        <v>-187700</v>
      </c>
    </row>
    <row r="100" spans="2:20" ht="11.1" customHeight="1" x14ac:dyDescent="0.2">
      <c r="B100" s="239" t="s">
        <v>204</v>
      </c>
      <c r="C100" s="240"/>
      <c r="D100" s="49"/>
      <c r="E100" s="49"/>
      <c r="F100" s="49"/>
      <c r="G100" s="49"/>
      <c r="H100" s="49"/>
      <c r="I100" s="49"/>
      <c r="J100" s="49"/>
      <c r="L100" s="239" t="s">
        <v>204</v>
      </c>
      <c r="M100" s="240"/>
      <c r="N100" s="49">
        <f>N97-N98-N99</f>
        <v>-27827</v>
      </c>
      <c r="O100" s="49">
        <f>O97-O98-O99</f>
        <v>-23954</v>
      </c>
      <c r="P100" s="49">
        <f>P97-P98-P99</f>
        <v>-17023</v>
      </c>
      <c r="Q100" s="49">
        <f>Q97-Q98-Q99</f>
        <v>3126</v>
      </c>
      <c r="R100" s="49">
        <f t="shared" si="67"/>
        <v>-65678</v>
      </c>
      <c r="S100" s="49">
        <f>S97-S98-S99</f>
        <v>-65678</v>
      </c>
      <c r="T100" s="49">
        <f t="shared" si="66"/>
        <v>-131356</v>
      </c>
    </row>
    <row r="101" spans="2:20" ht="11.1" customHeight="1" x14ac:dyDescent="0.2">
      <c r="B101" s="171" t="s">
        <v>205</v>
      </c>
      <c r="C101" s="172"/>
      <c r="D101" s="52"/>
      <c r="E101" s="52"/>
      <c r="F101" s="52"/>
      <c r="G101" s="52"/>
      <c r="H101" s="52"/>
      <c r="I101" s="52"/>
      <c r="J101" s="52"/>
      <c r="L101" s="171" t="s">
        <v>205</v>
      </c>
      <c r="M101" s="172"/>
      <c r="N101" s="52">
        <f t="shared" ref="N101:Q103" si="69">D101-D71</f>
        <v>3810</v>
      </c>
      <c r="O101" s="52">
        <f t="shared" si="69"/>
        <v>748</v>
      </c>
      <c r="P101" s="52">
        <f t="shared" si="69"/>
        <v>1805</v>
      </c>
      <c r="Q101" s="52">
        <f t="shared" si="69"/>
        <v>0</v>
      </c>
      <c r="R101" s="52">
        <f t="shared" si="67"/>
        <v>6363</v>
      </c>
      <c r="S101" s="52">
        <f>I101-H71</f>
        <v>6363</v>
      </c>
      <c r="T101" s="52">
        <f t="shared" si="66"/>
        <v>12726</v>
      </c>
    </row>
    <row r="102" spans="2:20" ht="11.1" customHeight="1" x14ac:dyDescent="0.2">
      <c r="B102" s="180" t="s">
        <v>206</v>
      </c>
      <c r="C102" s="181"/>
      <c r="D102" s="52"/>
      <c r="E102" s="52"/>
      <c r="F102" s="52"/>
      <c r="G102" s="52"/>
      <c r="H102" s="52"/>
      <c r="I102" s="52"/>
      <c r="J102" s="52"/>
      <c r="L102" s="180" t="s">
        <v>206</v>
      </c>
      <c r="M102" s="181"/>
      <c r="N102" s="52">
        <f t="shared" si="69"/>
        <v>0</v>
      </c>
      <c r="O102" s="52">
        <f t="shared" si="69"/>
        <v>0</v>
      </c>
      <c r="P102" s="52">
        <f t="shared" si="69"/>
        <v>-859</v>
      </c>
      <c r="Q102" s="52">
        <f t="shared" si="69"/>
        <v>0</v>
      </c>
      <c r="R102" s="52">
        <f t="shared" si="67"/>
        <v>-859</v>
      </c>
      <c r="S102" s="52">
        <f>I102-H72</f>
        <v>-859</v>
      </c>
      <c r="T102" s="52">
        <f t="shared" si="66"/>
        <v>-1718</v>
      </c>
    </row>
    <row r="103" spans="2:20" ht="11.1" customHeight="1" x14ac:dyDescent="0.2">
      <c r="B103" s="180" t="s">
        <v>27</v>
      </c>
      <c r="C103" s="181"/>
      <c r="D103" s="52"/>
      <c r="E103" s="52"/>
      <c r="F103" s="52"/>
      <c r="G103" s="52"/>
      <c r="H103" s="52"/>
      <c r="I103" s="52"/>
      <c r="J103" s="52"/>
      <c r="L103" s="180" t="s">
        <v>27</v>
      </c>
      <c r="M103" s="181"/>
      <c r="N103" s="52">
        <f t="shared" si="69"/>
        <v>0</v>
      </c>
      <c r="O103" s="52">
        <f t="shared" si="69"/>
        <v>0</v>
      </c>
      <c r="P103" s="52">
        <f t="shared" si="69"/>
        <v>0</v>
      </c>
      <c r="Q103" s="52">
        <f t="shared" si="69"/>
        <v>0</v>
      </c>
      <c r="R103" s="52">
        <f t="shared" si="67"/>
        <v>0</v>
      </c>
      <c r="S103" s="52">
        <f>I103-H73</f>
        <v>0</v>
      </c>
      <c r="T103" s="52">
        <f t="shared" si="66"/>
        <v>0</v>
      </c>
    </row>
    <row r="104" spans="2:20" ht="11.1" customHeight="1" x14ac:dyDescent="0.2">
      <c r="B104" s="239" t="s">
        <v>207</v>
      </c>
      <c r="C104" s="240"/>
      <c r="D104" s="49"/>
      <c r="E104" s="49"/>
      <c r="F104" s="49"/>
      <c r="G104" s="49"/>
      <c r="H104" s="49"/>
      <c r="I104" s="49"/>
      <c r="J104" s="49"/>
      <c r="L104" s="239" t="s">
        <v>207</v>
      </c>
      <c r="M104" s="240"/>
      <c r="N104" s="49">
        <f t="shared" ref="N104:Q104" si="70">N100+N101+N102+N103</f>
        <v>-24017</v>
      </c>
      <c r="O104" s="49">
        <f t="shared" si="70"/>
        <v>-23206</v>
      </c>
      <c r="P104" s="49">
        <f t="shared" si="70"/>
        <v>-16077</v>
      </c>
      <c r="Q104" s="49">
        <f t="shared" si="70"/>
        <v>3126</v>
      </c>
      <c r="R104" s="49">
        <f t="shared" si="67"/>
        <v>-60174</v>
      </c>
      <c r="S104" s="49">
        <f>S100+S101+S103</f>
        <v>-59315</v>
      </c>
      <c r="T104" s="49">
        <f t="shared" si="66"/>
        <v>-119489</v>
      </c>
    </row>
    <row r="105" spans="2:20" ht="11.1" customHeight="1" x14ac:dyDescent="0.2">
      <c r="B105" s="75" t="s">
        <v>22</v>
      </c>
      <c r="C105" s="76"/>
      <c r="D105" s="49"/>
      <c r="E105" s="49"/>
      <c r="F105" s="49"/>
      <c r="G105" s="49"/>
      <c r="H105" s="49"/>
      <c r="I105" s="49"/>
      <c r="J105" s="49"/>
      <c r="L105" s="75" t="s">
        <v>22</v>
      </c>
      <c r="M105" s="76"/>
      <c r="N105" s="49">
        <f>D105-D75</f>
        <v>-20106</v>
      </c>
      <c r="O105" s="49">
        <f>E105-E75</f>
        <v>-11777</v>
      </c>
      <c r="P105" s="49">
        <f>F105-F75</f>
        <v>-7606</v>
      </c>
      <c r="Q105" s="49">
        <f>G105-G75</f>
        <v>0</v>
      </c>
      <c r="R105" s="49">
        <f t="shared" si="67"/>
        <v>-39489</v>
      </c>
      <c r="S105" s="49">
        <f>I105-H75</f>
        <v>-39489</v>
      </c>
      <c r="T105" s="49">
        <f t="shared" si="66"/>
        <v>-78978</v>
      </c>
    </row>
    <row r="106" spans="2:20" ht="11.1" customHeight="1" x14ac:dyDescent="0.2">
      <c r="B106" s="239" t="s">
        <v>23</v>
      </c>
      <c r="C106" s="240"/>
      <c r="D106" s="49"/>
      <c r="E106" s="49"/>
      <c r="F106" s="49"/>
      <c r="G106" s="49"/>
      <c r="H106" s="49"/>
      <c r="I106" s="49"/>
      <c r="J106" s="49"/>
      <c r="L106" s="239" t="s">
        <v>23</v>
      </c>
      <c r="M106" s="240"/>
      <c r="N106" s="49">
        <f>N104+N105</f>
        <v>-44123</v>
      </c>
      <c r="O106" s="49">
        <f t="shared" ref="O106:Q106" si="71">O104+O105</f>
        <v>-34983</v>
      </c>
      <c r="P106" s="49">
        <f t="shared" si="71"/>
        <v>-23683</v>
      </c>
      <c r="Q106" s="49">
        <f t="shared" si="71"/>
        <v>3126</v>
      </c>
      <c r="R106" s="49">
        <f t="shared" si="67"/>
        <v>-99663</v>
      </c>
      <c r="S106" s="49">
        <f>S104+S105</f>
        <v>-98804</v>
      </c>
      <c r="T106" s="49">
        <f t="shared" si="66"/>
        <v>-198467</v>
      </c>
    </row>
    <row r="107" spans="2:20" ht="11.1" customHeight="1" x14ac:dyDescent="0.2">
      <c r="B107" s="250" t="s">
        <v>217</v>
      </c>
      <c r="C107" s="251"/>
      <c r="D107" s="251"/>
      <c r="E107" s="251"/>
      <c r="F107" s="251"/>
      <c r="G107" s="251"/>
      <c r="H107" s="73"/>
      <c r="I107" s="73"/>
      <c r="J107" s="80"/>
      <c r="L107" s="250" t="s">
        <v>218</v>
      </c>
      <c r="M107" s="251"/>
      <c r="N107" s="251"/>
      <c r="O107" s="251"/>
      <c r="P107" s="251"/>
      <c r="Q107" s="251"/>
      <c r="R107" s="73"/>
      <c r="S107" s="73"/>
      <c r="T107" s="80"/>
    </row>
    <row r="108" spans="2:20" ht="11.1" customHeight="1" x14ac:dyDescent="0.2">
      <c r="B108" s="178" t="s">
        <v>202</v>
      </c>
      <c r="C108" s="179"/>
      <c r="D108" s="52"/>
      <c r="E108" s="52"/>
      <c r="F108" s="52"/>
      <c r="G108" s="52"/>
      <c r="H108" s="52"/>
      <c r="I108" s="52"/>
      <c r="J108" s="52"/>
      <c r="L108" s="178" t="s">
        <v>202</v>
      </c>
      <c r="M108" s="179"/>
      <c r="N108" s="52">
        <f t="shared" ref="N108:Q109" si="72">D108-D78</f>
        <v>-279614</v>
      </c>
      <c r="O108" s="52">
        <f t="shared" si="72"/>
        <v>-174546</v>
      </c>
      <c r="P108" s="52">
        <f t="shared" si="72"/>
        <v>-189596</v>
      </c>
      <c r="Q108" s="52">
        <f t="shared" si="72"/>
        <v>0</v>
      </c>
      <c r="R108" s="52">
        <f>SUM(N108:Q108)</f>
        <v>-643756</v>
      </c>
      <c r="S108" s="52">
        <f>I108-H78</f>
        <v>-643756</v>
      </c>
      <c r="T108" s="52">
        <f t="shared" ref="T108:T119" si="73">R108+S108</f>
        <v>-1287512</v>
      </c>
    </row>
    <row r="109" spans="2:20" ht="11.1" customHeight="1" x14ac:dyDescent="0.2">
      <c r="B109" s="178" t="s">
        <v>33</v>
      </c>
      <c r="C109" s="179"/>
      <c r="D109" s="52"/>
      <c r="E109" s="52"/>
      <c r="F109" s="52"/>
      <c r="G109" s="52"/>
      <c r="H109" s="52"/>
      <c r="I109" s="52"/>
      <c r="J109" s="52"/>
      <c r="L109" s="178" t="s">
        <v>33</v>
      </c>
      <c r="M109" s="179"/>
      <c r="N109" s="52">
        <f t="shared" si="72"/>
        <v>-206048</v>
      </c>
      <c r="O109" s="52">
        <f t="shared" si="72"/>
        <v>-134638</v>
      </c>
      <c r="P109" s="52">
        <f t="shared" si="72"/>
        <v>-120481</v>
      </c>
      <c r="Q109" s="52">
        <f t="shared" si="72"/>
        <v>0</v>
      </c>
      <c r="R109" s="52">
        <f t="shared" ref="R109:R119" si="74">SUM(N109:Q109)</f>
        <v>-461167</v>
      </c>
      <c r="S109" s="52">
        <f>I109-H79</f>
        <v>-461167</v>
      </c>
      <c r="T109" s="52">
        <f t="shared" si="73"/>
        <v>-922334</v>
      </c>
    </row>
    <row r="110" spans="2:20" ht="11.1" customHeight="1" x14ac:dyDescent="0.2">
      <c r="B110" s="239" t="s">
        <v>203</v>
      </c>
      <c r="C110" s="240"/>
      <c r="D110" s="49"/>
      <c r="E110" s="49"/>
      <c r="F110" s="49"/>
      <c r="G110" s="49"/>
      <c r="H110" s="49"/>
      <c r="I110" s="49"/>
      <c r="J110" s="49"/>
      <c r="L110" s="239" t="s">
        <v>203</v>
      </c>
      <c r="M110" s="240"/>
      <c r="N110" s="49">
        <f>N108-N109</f>
        <v>-73566</v>
      </c>
      <c r="O110" s="49">
        <f>O108-O109</f>
        <v>-39908</v>
      </c>
      <c r="P110" s="49">
        <f>P108-P109</f>
        <v>-69115</v>
      </c>
      <c r="Q110" s="49">
        <f>Q108-Q109</f>
        <v>0</v>
      </c>
      <c r="R110" s="49">
        <f t="shared" si="74"/>
        <v>-182589</v>
      </c>
      <c r="S110" s="49">
        <f>S108-S109</f>
        <v>-182589</v>
      </c>
      <c r="T110" s="49">
        <f t="shared" si="73"/>
        <v>-365178</v>
      </c>
    </row>
    <row r="111" spans="2:20" ht="11.1" customHeight="1" x14ac:dyDescent="0.2">
      <c r="B111" s="171" t="s">
        <v>4</v>
      </c>
      <c r="C111" s="172"/>
      <c r="D111" s="52"/>
      <c r="E111" s="52"/>
      <c r="F111" s="52"/>
      <c r="G111" s="52"/>
      <c r="H111" s="52"/>
      <c r="I111" s="52"/>
      <c r="J111" s="52"/>
      <c r="L111" s="171" t="s">
        <v>4</v>
      </c>
      <c r="M111" s="172"/>
      <c r="N111" s="52">
        <f t="shared" ref="N111:Q112" si="75">D111-D81</f>
        <v>-12372</v>
      </c>
      <c r="O111" s="52">
        <f t="shared" si="75"/>
        <v>-4438</v>
      </c>
      <c r="P111" s="52">
        <f t="shared" si="75"/>
        <v>-11621</v>
      </c>
      <c r="Q111" s="52">
        <f t="shared" si="75"/>
        <v>-283</v>
      </c>
      <c r="R111" s="52">
        <f t="shared" si="74"/>
        <v>-28714</v>
      </c>
      <c r="S111" s="52">
        <f>I111-H81</f>
        <v>-28714</v>
      </c>
      <c r="T111" s="52">
        <f t="shared" si="73"/>
        <v>-57428</v>
      </c>
    </row>
    <row r="112" spans="2:20" ht="11.1" customHeight="1" x14ac:dyDescent="0.2">
      <c r="B112" s="171" t="s">
        <v>5</v>
      </c>
      <c r="C112" s="172"/>
      <c r="D112" s="52"/>
      <c r="E112" s="52"/>
      <c r="F112" s="52"/>
      <c r="G112" s="52"/>
      <c r="H112" s="52"/>
      <c r="I112" s="52"/>
      <c r="J112" s="52"/>
      <c r="L112" s="171" t="s">
        <v>5</v>
      </c>
      <c r="M112" s="172"/>
      <c r="N112" s="52">
        <f t="shared" si="75"/>
        <v>-42964</v>
      </c>
      <c r="O112" s="52">
        <f t="shared" si="75"/>
        <v>-18608</v>
      </c>
      <c r="P112" s="52">
        <f t="shared" si="75"/>
        <v>-29662</v>
      </c>
      <c r="Q112" s="52">
        <f t="shared" si="75"/>
        <v>-2163</v>
      </c>
      <c r="R112" s="52">
        <f t="shared" si="74"/>
        <v>-93397</v>
      </c>
      <c r="S112" s="52">
        <f>I112-H82</f>
        <v>-93397</v>
      </c>
      <c r="T112" s="52">
        <f t="shared" si="73"/>
        <v>-186794</v>
      </c>
    </row>
    <row r="113" spans="2:20" ht="11.1" customHeight="1" x14ac:dyDescent="0.2">
      <c r="B113" s="239" t="s">
        <v>204</v>
      </c>
      <c r="C113" s="240"/>
      <c r="D113" s="49"/>
      <c r="E113" s="49"/>
      <c r="F113" s="49"/>
      <c r="G113" s="49"/>
      <c r="H113" s="49"/>
      <c r="I113" s="49"/>
      <c r="J113" s="49"/>
      <c r="L113" s="239" t="s">
        <v>204</v>
      </c>
      <c r="M113" s="240"/>
      <c r="N113" s="49">
        <f>N110-N111-N112</f>
        <v>-18230</v>
      </c>
      <c r="O113" s="49">
        <f>O110-O111-O112</f>
        <v>-16862</v>
      </c>
      <c r="P113" s="49">
        <f>P110-P111-P112</f>
        <v>-27832</v>
      </c>
      <c r="Q113" s="49">
        <f>Q110-Q111-Q112</f>
        <v>2446</v>
      </c>
      <c r="R113" s="49">
        <f t="shared" si="74"/>
        <v>-60478</v>
      </c>
      <c r="S113" s="49">
        <f>S110-S111-S112</f>
        <v>-60478</v>
      </c>
      <c r="T113" s="49">
        <f t="shared" si="73"/>
        <v>-120956</v>
      </c>
    </row>
    <row r="114" spans="2:20" ht="11.1" customHeight="1" x14ac:dyDescent="0.2">
      <c r="B114" s="171" t="s">
        <v>205</v>
      </c>
      <c r="C114" s="172"/>
      <c r="D114" s="52"/>
      <c r="E114" s="52"/>
      <c r="F114" s="52"/>
      <c r="G114" s="52"/>
      <c r="H114" s="52"/>
      <c r="I114" s="52"/>
      <c r="J114" s="52"/>
      <c r="L114" s="171" t="s">
        <v>205</v>
      </c>
      <c r="M114" s="172"/>
      <c r="N114" s="52">
        <f t="shared" ref="N114:Q116" si="76">D114-D84</f>
        <v>798</v>
      </c>
      <c r="O114" s="52">
        <f t="shared" si="76"/>
        <v>-1797</v>
      </c>
      <c r="P114" s="52">
        <f t="shared" si="76"/>
        <v>2042</v>
      </c>
      <c r="Q114" s="52">
        <f t="shared" si="76"/>
        <v>0</v>
      </c>
      <c r="R114" s="52">
        <f t="shared" si="74"/>
        <v>1043</v>
      </c>
      <c r="S114" s="52">
        <f>I114-H84</f>
        <v>1043</v>
      </c>
      <c r="T114" s="52">
        <f t="shared" si="73"/>
        <v>2086</v>
      </c>
    </row>
    <row r="115" spans="2:20" ht="11.1" customHeight="1" x14ac:dyDescent="0.2">
      <c r="B115" s="180" t="s">
        <v>206</v>
      </c>
      <c r="C115" s="181"/>
      <c r="D115" s="52"/>
      <c r="E115" s="52"/>
      <c r="F115" s="52"/>
      <c r="G115" s="52"/>
      <c r="H115" s="52"/>
      <c r="I115" s="52"/>
      <c r="J115" s="52"/>
      <c r="L115" s="180" t="s">
        <v>206</v>
      </c>
      <c r="M115" s="181"/>
      <c r="N115" s="52">
        <f t="shared" si="76"/>
        <v>0</v>
      </c>
      <c r="O115" s="52">
        <f t="shared" si="76"/>
        <v>0</v>
      </c>
      <c r="P115" s="52">
        <f t="shared" si="76"/>
        <v>-1166</v>
      </c>
      <c r="Q115" s="52">
        <f t="shared" si="76"/>
        <v>0</v>
      </c>
      <c r="R115" s="52">
        <f t="shared" si="74"/>
        <v>-1166</v>
      </c>
      <c r="S115" s="52">
        <f>I115-H85</f>
        <v>-1166</v>
      </c>
      <c r="T115" s="52">
        <f t="shared" si="73"/>
        <v>-2332</v>
      </c>
    </row>
    <row r="116" spans="2:20" ht="11.1" customHeight="1" x14ac:dyDescent="0.2">
      <c r="B116" s="180" t="s">
        <v>27</v>
      </c>
      <c r="C116" s="181"/>
      <c r="D116" s="52"/>
      <c r="E116" s="52"/>
      <c r="F116" s="52"/>
      <c r="G116" s="52"/>
      <c r="H116" s="52"/>
      <c r="I116" s="52"/>
      <c r="J116" s="52"/>
      <c r="L116" s="180" t="s">
        <v>27</v>
      </c>
      <c r="M116" s="181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I116-H86</f>
        <v>0</v>
      </c>
      <c r="T116" s="52">
        <f t="shared" si="73"/>
        <v>0</v>
      </c>
    </row>
    <row r="117" spans="2:20" ht="11.1" customHeight="1" x14ac:dyDescent="0.2">
      <c r="B117" s="239" t="s">
        <v>207</v>
      </c>
      <c r="C117" s="240"/>
      <c r="D117" s="49"/>
      <c r="E117" s="49"/>
      <c r="F117" s="49"/>
      <c r="G117" s="49"/>
      <c r="H117" s="49"/>
      <c r="I117" s="49"/>
      <c r="J117" s="49"/>
      <c r="L117" s="239" t="s">
        <v>207</v>
      </c>
      <c r="M117" s="240"/>
      <c r="N117" s="49">
        <f t="shared" ref="N117:Q117" si="77">N113+N114+N115+N116</f>
        <v>-17432</v>
      </c>
      <c r="O117" s="49">
        <f t="shared" si="77"/>
        <v>-18659</v>
      </c>
      <c r="P117" s="49">
        <f t="shared" si="77"/>
        <v>-26956</v>
      </c>
      <c r="Q117" s="49">
        <f t="shared" si="77"/>
        <v>2446</v>
      </c>
      <c r="R117" s="49">
        <f t="shared" si="74"/>
        <v>-60601</v>
      </c>
      <c r="S117" s="49">
        <f>S113+S114+S116</f>
        <v>-59435</v>
      </c>
      <c r="T117" s="49">
        <f t="shared" si="73"/>
        <v>-120036</v>
      </c>
    </row>
    <row r="118" spans="2:20" ht="11.1" customHeight="1" x14ac:dyDescent="0.2">
      <c r="B118" s="75" t="s">
        <v>22</v>
      </c>
      <c r="C118" s="76"/>
      <c r="D118" s="49"/>
      <c r="E118" s="49"/>
      <c r="F118" s="49"/>
      <c r="G118" s="49"/>
      <c r="H118" s="49"/>
      <c r="I118" s="49"/>
      <c r="J118" s="49"/>
      <c r="L118" s="75" t="s">
        <v>22</v>
      </c>
      <c r="M118" s="76"/>
      <c r="N118" s="49">
        <f>D118-D88</f>
        <v>-18524</v>
      </c>
      <c r="O118" s="49">
        <f>E118-E88</f>
        <v>-11697</v>
      </c>
      <c r="P118" s="49">
        <f>F118-F88</f>
        <v>-6811</v>
      </c>
      <c r="Q118" s="49">
        <f>G118-G88</f>
        <v>0</v>
      </c>
      <c r="R118" s="49">
        <f t="shared" si="74"/>
        <v>-37032</v>
      </c>
      <c r="S118" s="49">
        <f>I118-H88</f>
        <v>-37032</v>
      </c>
      <c r="T118" s="49">
        <f t="shared" si="73"/>
        <v>-74064</v>
      </c>
    </row>
    <row r="119" spans="2:20" ht="11.1" customHeight="1" x14ac:dyDescent="0.2">
      <c r="B119" s="239" t="s">
        <v>23</v>
      </c>
      <c r="C119" s="240"/>
      <c r="D119" s="49"/>
      <c r="E119" s="49"/>
      <c r="F119" s="49"/>
      <c r="G119" s="49"/>
      <c r="H119" s="49"/>
      <c r="I119" s="49"/>
      <c r="J119" s="49"/>
      <c r="L119" s="239" t="s">
        <v>23</v>
      </c>
      <c r="M119" s="240"/>
      <c r="N119" s="49">
        <f>N117+N118</f>
        <v>-35956</v>
      </c>
      <c r="O119" s="49">
        <f t="shared" ref="O119:Q119" si="78">O117+O118</f>
        <v>-30356</v>
      </c>
      <c r="P119" s="49">
        <f t="shared" si="78"/>
        <v>-33767</v>
      </c>
      <c r="Q119" s="49">
        <f t="shared" si="78"/>
        <v>2446</v>
      </c>
      <c r="R119" s="49">
        <f t="shared" si="74"/>
        <v>-97633</v>
      </c>
      <c r="S119" s="49">
        <f>S117+S118</f>
        <v>-96467</v>
      </c>
      <c r="T119" s="49">
        <f t="shared" si="73"/>
        <v>-194100</v>
      </c>
    </row>
  </sheetData>
  <mergeCells count="256"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EB8F-C85C-4ECD-B8A8-A9C543278614}">
  <sheetPr>
    <tabColor theme="0" tint="-0.34998626667073579"/>
  </sheetPr>
  <dimension ref="B1:T70"/>
  <sheetViews>
    <sheetView zoomScaleNormal="100" zoomScaleSheetLayoutView="100" workbookViewId="0">
      <pane xSplit="3" ySplit="1" topLeftCell="D17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9" sqref="B29:C29"/>
    </sheetView>
  </sheetViews>
  <sheetFormatPr defaultColWidth="9.140625" defaultRowHeight="11.1" customHeight="1" outlineLevelRow="1" outlineLevelCol="1" x14ac:dyDescent="0.2"/>
  <cols>
    <col min="1" max="1" width="3.710937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92" t="s">
        <v>232</v>
      </c>
      <c r="C2" s="72"/>
      <c r="D2" s="48"/>
      <c r="E2" s="48"/>
      <c r="F2" s="48"/>
      <c r="G2" s="48"/>
      <c r="H2" s="48"/>
      <c r="I2" s="48"/>
      <c r="J2" s="48"/>
      <c r="K2" s="47"/>
      <c r="L2" s="92" t="s">
        <v>232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174" t="s">
        <v>59</v>
      </c>
      <c r="C3" s="252"/>
      <c r="D3" s="244" t="s">
        <v>194</v>
      </c>
      <c r="E3" s="244" t="s">
        <v>195</v>
      </c>
      <c r="F3" s="244" t="s">
        <v>196</v>
      </c>
      <c r="G3" s="244" t="s">
        <v>197</v>
      </c>
      <c r="H3" s="244" t="s">
        <v>198</v>
      </c>
      <c r="I3" s="244" t="s">
        <v>199</v>
      </c>
      <c r="J3" s="244" t="s">
        <v>200</v>
      </c>
      <c r="K3" s="47"/>
      <c r="L3" s="174" t="s">
        <v>59</v>
      </c>
      <c r="M3" s="252"/>
      <c r="N3" s="244" t="s">
        <v>194</v>
      </c>
      <c r="O3" s="244" t="s">
        <v>195</v>
      </c>
      <c r="P3" s="244" t="s">
        <v>196</v>
      </c>
      <c r="Q3" s="244" t="s">
        <v>197</v>
      </c>
      <c r="R3" s="244" t="s">
        <v>198</v>
      </c>
      <c r="S3" s="244" t="s">
        <v>199</v>
      </c>
      <c r="T3" s="244" t="s">
        <v>200</v>
      </c>
    </row>
    <row r="4" spans="2:20" ht="11.1" customHeight="1" x14ac:dyDescent="0.2">
      <c r="B4" s="253"/>
      <c r="C4" s="254"/>
      <c r="D4" s="245"/>
      <c r="E4" s="245"/>
      <c r="F4" s="245"/>
      <c r="G4" s="245"/>
      <c r="H4" s="245"/>
      <c r="I4" s="245"/>
      <c r="J4" s="245"/>
      <c r="K4" s="47"/>
      <c r="L4" s="253"/>
      <c r="M4" s="254"/>
      <c r="N4" s="245"/>
      <c r="O4" s="245"/>
      <c r="P4" s="245"/>
      <c r="Q4" s="245"/>
      <c r="R4" s="245"/>
      <c r="S4" s="245"/>
      <c r="T4" s="245"/>
    </row>
    <row r="5" spans="2:20" ht="11.1" customHeight="1" x14ac:dyDescent="0.2">
      <c r="B5" s="250" t="s">
        <v>221</v>
      </c>
      <c r="C5" s="251"/>
      <c r="D5" s="251"/>
      <c r="E5" s="251"/>
      <c r="F5" s="251"/>
      <c r="G5" s="251"/>
      <c r="H5" s="73"/>
      <c r="I5" s="73"/>
      <c r="J5" s="74"/>
      <c r="K5" s="47"/>
      <c r="L5" s="250" t="s">
        <v>221</v>
      </c>
      <c r="M5" s="251"/>
      <c r="N5" s="251"/>
      <c r="O5" s="251"/>
      <c r="P5" s="251"/>
      <c r="Q5" s="251"/>
      <c r="R5" s="73"/>
      <c r="S5" s="73"/>
      <c r="T5" s="74"/>
    </row>
    <row r="6" spans="2:20" ht="11.1" customHeight="1" x14ac:dyDescent="0.2">
      <c r="B6" s="178" t="s">
        <v>202</v>
      </c>
      <c r="C6" s="179"/>
      <c r="D6" s="52">
        <v>83961</v>
      </c>
      <c r="E6" s="52">
        <v>80276</v>
      </c>
      <c r="F6" s="52">
        <v>60299</v>
      </c>
      <c r="G6" s="52"/>
      <c r="H6" s="52">
        <f>SUM(D6:G6)</f>
        <v>224536</v>
      </c>
      <c r="I6" s="52"/>
      <c r="J6" s="52">
        <f t="shared" ref="J6:J17" si="0">H6+I6</f>
        <v>224536</v>
      </c>
      <c r="K6" s="47"/>
      <c r="L6" s="178" t="s">
        <v>202</v>
      </c>
      <c r="M6" s="179"/>
      <c r="N6" s="52">
        <v>83961</v>
      </c>
      <c r="O6" s="52">
        <v>80276</v>
      </c>
      <c r="P6" s="52">
        <v>60299</v>
      </c>
      <c r="Q6" s="52"/>
      <c r="R6" s="52">
        <f>SUM(N6:Q6)</f>
        <v>224536</v>
      </c>
      <c r="S6" s="52"/>
      <c r="T6" s="52">
        <f t="shared" ref="T6:T17" si="1">R6+S6</f>
        <v>224536</v>
      </c>
    </row>
    <row r="7" spans="2:20" ht="11.1" customHeight="1" x14ac:dyDescent="0.2">
      <c r="B7" s="178" t="s">
        <v>33</v>
      </c>
      <c r="C7" s="179"/>
      <c r="D7" s="52">
        <v>61397</v>
      </c>
      <c r="E7" s="52">
        <v>59860</v>
      </c>
      <c r="F7" s="52">
        <v>40261</v>
      </c>
      <c r="G7" s="52"/>
      <c r="H7" s="52">
        <f t="shared" ref="H7:H17" si="2">SUM(D7:G7)</f>
        <v>161518</v>
      </c>
      <c r="I7" s="52"/>
      <c r="J7" s="52">
        <f t="shared" si="0"/>
        <v>161518</v>
      </c>
      <c r="K7" s="47"/>
      <c r="L7" s="178" t="s">
        <v>33</v>
      </c>
      <c r="M7" s="179"/>
      <c r="N7" s="52">
        <v>61397</v>
      </c>
      <c r="O7" s="52">
        <v>59860</v>
      </c>
      <c r="P7" s="52">
        <v>40261</v>
      </c>
      <c r="Q7" s="52"/>
      <c r="R7" s="52">
        <f t="shared" ref="R7:R17" si="3">SUM(N7:Q7)</f>
        <v>161518</v>
      </c>
      <c r="S7" s="52"/>
      <c r="T7" s="52">
        <f t="shared" si="1"/>
        <v>161518</v>
      </c>
    </row>
    <row r="8" spans="2:20" ht="11.1" customHeight="1" x14ac:dyDescent="0.2">
      <c r="B8" s="239" t="s">
        <v>203</v>
      </c>
      <c r="C8" s="240"/>
      <c r="D8" s="49">
        <f>D6-D7</f>
        <v>22564</v>
      </c>
      <c r="E8" s="49">
        <f>E6-E7</f>
        <v>20416</v>
      </c>
      <c r="F8" s="49">
        <f>F6-F7</f>
        <v>20038</v>
      </c>
      <c r="G8" s="49">
        <f>G6-G7</f>
        <v>0</v>
      </c>
      <c r="H8" s="49">
        <f t="shared" si="2"/>
        <v>63018</v>
      </c>
      <c r="I8" s="49">
        <f>I6-I7</f>
        <v>0</v>
      </c>
      <c r="J8" s="49">
        <f t="shared" si="0"/>
        <v>63018</v>
      </c>
      <c r="K8" s="47"/>
      <c r="L8" s="239" t="s">
        <v>203</v>
      </c>
      <c r="M8" s="240"/>
      <c r="N8" s="49">
        <f>N6-N7</f>
        <v>22564</v>
      </c>
      <c r="O8" s="49">
        <f>O6-O7</f>
        <v>20416</v>
      </c>
      <c r="P8" s="49">
        <f>P6-P7</f>
        <v>20038</v>
      </c>
      <c r="Q8" s="49">
        <f>Q6-Q7</f>
        <v>0</v>
      </c>
      <c r="R8" s="49">
        <f t="shared" si="3"/>
        <v>63018</v>
      </c>
      <c r="S8" s="49">
        <f>S6-S7</f>
        <v>0</v>
      </c>
      <c r="T8" s="49">
        <f t="shared" si="1"/>
        <v>63018</v>
      </c>
    </row>
    <row r="9" spans="2:20" ht="11.1" customHeight="1" x14ac:dyDescent="0.2">
      <c r="B9" s="171" t="s">
        <v>4</v>
      </c>
      <c r="C9" s="172"/>
      <c r="D9" s="52">
        <v>3695</v>
      </c>
      <c r="E9" s="52">
        <v>1614</v>
      </c>
      <c r="F9" s="52">
        <v>3562</v>
      </c>
      <c r="G9" s="52">
        <v>172</v>
      </c>
      <c r="H9" s="52">
        <f t="shared" si="2"/>
        <v>9043</v>
      </c>
      <c r="I9" s="52"/>
      <c r="J9" s="52">
        <f t="shared" si="0"/>
        <v>9043</v>
      </c>
      <c r="K9" s="47"/>
      <c r="L9" s="171" t="s">
        <v>4</v>
      </c>
      <c r="M9" s="172"/>
      <c r="N9" s="52">
        <v>3695</v>
      </c>
      <c r="O9" s="52">
        <v>1614</v>
      </c>
      <c r="P9" s="52">
        <v>3562</v>
      </c>
      <c r="Q9" s="52">
        <v>172</v>
      </c>
      <c r="R9" s="52">
        <f t="shared" si="3"/>
        <v>9043</v>
      </c>
      <c r="S9" s="52"/>
      <c r="T9" s="52">
        <f t="shared" si="1"/>
        <v>9043</v>
      </c>
    </row>
    <row r="10" spans="2:20" ht="11.1" customHeight="1" x14ac:dyDescent="0.2">
      <c r="B10" s="171" t="s">
        <v>5</v>
      </c>
      <c r="C10" s="172"/>
      <c r="D10" s="52">
        <v>13736</v>
      </c>
      <c r="E10" s="52">
        <v>7516</v>
      </c>
      <c r="F10" s="52">
        <v>10095</v>
      </c>
      <c r="G10" s="52">
        <v>1054</v>
      </c>
      <c r="H10" s="52">
        <f t="shared" si="2"/>
        <v>32401</v>
      </c>
      <c r="I10" s="52"/>
      <c r="J10" s="52">
        <f t="shared" si="0"/>
        <v>32401</v>
      </c>
      <c r="K10" s="47"/>
      <c r="L10" s="171" t="s">
        <v>5</v>
      </c>
      <c r="M10" s="172"/>
      <c r="N10" s="52">
        <v>13736</v>
      </c>
      <c r="O10" s="52">
        <v>7516</v>
      </c>
      <c r="P10" s="52">
        <v>10095</v>
      </c>
      <c r="Q10" s="52">
        <v>1054</v>
      </c>
      <c r="R10" s="52">
        <f t="shared" si="3"/>
        <v>32401</v>
      </c>
      <c r="S10" s="52"/>
      <c r="T10" s="52">
        <f t="shared" si="1"/>
        <v>32401</v>
      </c>
    </row>
    <row r="11" spans="2:20" ht="11.1" customHeight="1" x14ac:dyDescent="0.2">
      <c r="B11" s="239" t="s">
        <v>204</v>
      </c>
      <c r="C11" s="240"/>
      <c r="D11" s="49">
        <f>D8-D9-D10</f>
        <v>5133</v>
      </c>
      <c r="E11" s="49">
        <f>E8-E9-E10</f>
        <v>11286</v>
      </c>
      <c r="F11" s="49">
        <f>F8-F9-F10</f>
        <v>6381</v>
      </c>
      <c r="G11" s="49">
        <f>G8-G9-G10</f>
        <v>-1226</v>
      </c>
      <c r="H11" s="49">
        <f t="shared" si="2"/>
        <v>21574</v>
      </c>
      <c r="I11" s="49">
        <f>I8-I9-I10</f>
        <v>0</v>
      </c>
      <c r="J11" s="49">
        <f t="shared" si="0"/>
        <v>21574</v>
      </c>
      <c r="K11" s="47"/>
      <c r="L11" s="239" t="s">
        <v>204</v>
      </c>
      <c r="M11" s="240"/>
      <c r="N11" s="49">
        <f>N8-N9-N10</f>
        <v>5133</v>
      </c>
      <c r="O11" s="49">
        <f>O8-O9-O10</f>
        <v>11286</v>
      </c>
      <c r="P11" s="49">
        <f>P8-P9-P10</f>
        <v>6381</v>
      </c>
      <c r="Q11" s="49">
        <f>Q8-Q9-Q10</f>
        <v>-1226</v>
      </c>
      <c r="R11" s="49">
        <f t="shared" si="3"/>
        <v>21574</v>
      </c>
      <c r="S11" s="49">
        <f>S8-S9-S10</f>
        <v>0</v>
      </c>
      <c r="T11" s="49">
        <f t="shared" si="1"/>
        <v>21574</v>
      </c>
    </row>
    <row r="12" spans="2:20" ht="11.1" customHeight="1" x14ac:dyDescent="0.2">
      <c r="B12" s="171" t="s">
        <v>205</v>
      </c>
      <c r="C12" s="172"/>
      <c r="D12" s="52">
        <v>169</v>
      </c>
      <c r="E12" s="52">
        <v>-133</v>
      </c>
      <c r="F12" s="52">
        <v>-1220</v>
      </c>
      <c r="G12" s="52">
        <v>0</v>
      </c>
      <c r="H12" s="52">
        <f t="shared" si="2"/>
        <v>-1184</v>
      </c>
      <c r="I12" s="52">
        <v>0</v>
      </c>
      <c r="J12" s="52">
        <f t="shared" si="0"/>
        <v>-1184</v>
      </c>
      <c r="K12" s="47"/>
      <c r="L12" s="171" t="s">
        <v>205</v>
      </c>
      <c r="M12" s="172"/>
      <c r="N12" s="52">
        <v>169</v>
      </c>
      <c r="O12" s="52">
        <v>-133</v>
      </c>
      <c r="P12" s="52">
        <v>-1220</v>
      </c>
      <c r="Q12" s="52">
        <v>0</v>
      </c>
      <c r="R12" s="52">
        <f t="shared" si="3"/>
        <v>-1184</v>
      </c>
      <c r="S12" s="52">
        <v>0</v>
      </c>
      <c r="T12" s="52">
        <f t="shared" si="1"/>
        <v>-1184</v>
      </c>
    </row>
    <row r="13" spans="2:20" ht="11.1" customHeight="1" x14ac:dyDescent="0.2">
      <c r="B13" s="180" t="s">
        <v>206</v>
      </c>
      <c r="C13" s="181"/>
      <c r="D13" s="52">
        <v>0</v>
      </c>
      <c r="E13" s="52">
        <v>0</v>
      </c>
      <c r="F13" s="52">
        <v>-6</v>
      </c>
      <c r="G13" s="52">
        <v>0</v>
      </c>
      <c r="H13" s="52">
        <f t="shared" si="2"/>
        <v>-6</v>
      </c>
      <c r="I13" s="52"/>
      <c r="J13" s="52">
        <f t="shared" si="0"/>
        <v>-6</v>
      </c>
      <c r="K13" s="47"/>
      <c r="L13" s="180" t="s">
        <v>206</v>
      </c>
      <c r="M13" s="181"/>
      <c r="N13" s="52">
        <v>0</v>
      </c>
      <c r="O13" s="52">
        <v>0</v>
      </c>
      <c r="P13" s="52">
        <v>-6</v>
      </c>
      <c r="Q13" s="52">
        <v>0</v>
      </c>
      <c r="R13" s="52">
        <f t="shared" si="3"/>
        <v>-6</v>
      </c>
      <c r="S13" s="52"/>
      <c r="T13" s="52">
        <f t="shared" si="1"/>
        <v>-6</v>
      </c>
    </row>
    <row r="14" spans="2:20" ht="11.1" customHeight="1" x14ac:dyDescent="0.2">
      <c r="B14" s="180" t="s">
        <v>27</v>
      </c>
      <c r="C14" s="181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180" t="s">
        <v>27</v>
      </c>
      <c r="M14" s="181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39" t="s">
        <v>207</v>
      </c>
      <c r="C15" s="240"/>
      <c r="D15" s="49">
        <f t="shared" ref="D15:G15" si="4">D11+D12+D13+D14</f>
        <v>5302</v>
      </c>
      <c r="E15" s="49">
        <f t="shared" si="4"/>
        <v>11153</v>
      </c>
      <c r="F15" s="49">
        <f t="shared" si="4"/>
        <v>5155</v>
      </c>
      <c r="G15" s="49">
        <f t="shared" si="4"/>
        <v>-1226</v>
      </c>
      <c r="H15" s="49">
        <f t="shared" si="2"/>
        <v>20384</v>
      </c>
      <c r="I15" s="49">
        <f>I11+I12+I14</f>
        <v>0</v>
      </c>
      <c r="J15" s="49">
        <f t="shared" si="0"/>
        <v>20384</v>
      </c>
      <c r="K15" s="47"/>
      <c r="L15" s="239" t="s">
        <v>207</v>
      </c>
      <c r="M15" s="240"/>
      <c r="N15" s="49">
        <f t="shared" ref="N15:Q15" si="5">N11+N12+N13+N14</f>
        <v>5302</v>
      </c>
      <c r="O15" s="49">
        <f t="shared" si="5"/>
        <v>11153</v>
      </c>
      <c r="P15" s="49">
        <f t="shared" si="5"/>
        <v>5155</v>
      </c>
      <c r="Q15" s="49">
        <f t="shared" si="5"/>
        <v>-1226</v>
      </c>
      <c r="R15" s="49">
        <f t="shared" si="3"/>
        <v>20384</v>
      </c>
      <c r="S15" s="49">
        <f>S11+S12+S14</f>
        <v>0</v>
      </c>
      <c r="T15" s="49">
        <f t="shared" si="1"/>
        <v>20384</v>
      </c>
    </row>
    <row r="16" spans="2:20" ht="11.1" customHeight="1" x14ac:dyDescent="0.2">
      <c r="B16" s="75" t="s">
        <v>22</v>
      </c>
      <c r="C16" s="76"/>
      <c r="D16" s="49">
        <v>6469</v>
      </c>
      <c r="E16" s="49">
        <v>3751</v>
      </c>
      <c r="F16" s="49">
        <v>2569</v>
      </c>
      <c r="G16" s="49">
        <v>0</v>
      </c>
      <c r="H16" s="49">
        <f t="shared" si="2"/>
        <v>12789</v>
      </c>
      <c r="I16" s="49">
        <v>0</v>
      </c>
      <c r="J16" s="49">
        <f t="shared" si="0"/>
        <v>12789</v>
      </c>
      <c r="K16" s="47"/>
      <c r="L16" s="75" t="s">
        <v>22</v>
      </c>
      <c r="M16" s="76"/>
      <c r="N16" s="49">
        <v>6469</v>
      </c>
      <c r="O16" s="49">
        <v>3751</v>
      </c>
      <c r="P16" s="49">
        <v>2569</v>
      </c>
      <c r="Q16" s="49">
        <v>0</v>
      </c>
      <c r="R16" s="49">
        <f t="shared" si="3"/>
        <v>12789</v>
      </c>
      <c r="S16" s="49">
        <v>0</v>
      </c>
      <c r="T16" s="49">
        <f t="shared" si="1"/>
        <v>12789</v>
      </c>
    </row>
    <row r="17" spans="2:20" ht="11.1" customHeight="1" x14ac:dyDescent="0.2">
      <c r="B17" s="239" t="s">
        <v>23</v>
      </c>
      <c r="C17" s="240"/>
      <c r="D17" s="49">
        <f>D15+D16</f>
        <v>11771</v>
      </c>
      <c r="E17" s="49">
        <f t="shared" ref="E17:G17" si="6">E15+E16</f>
        <v>14904</v>
      </c>
      <c r="F17" s="49">
        <f t="shared" si="6"/>
        <v>7724</v>
      </c>
      <c r="G17" s="49">
        <f t="shared" si="6"/>
        <v>-1226</v>
      </c>
      <c r="H17" s="49">
        <f t="shared" si="2"/>
        <v>33173</v>
      </c>
      <c r="I17" s="49">
        <f t="shared" ref="I17" si="7">I15+I16</f>
        <v>0</v>
      </c>
      <c r="J17" s="49">
        <f t="shared" si="0"/>
        <v>33173</v>
      </c>
      <c r="K17" s="47"/>
      <c r="L17" s="239" t="s">
        <v>23</v>
      </c>
      <c r="M17" s="240"/>
      <c r="N17" s="49">
        <f>N15+N16</f>
        <v>11771</v>
      </c>
      <c r="O17" s="49">
        <f t="shared" ref="O17:Q17" si="8">O15+O16</f>
        <v>14904</v>
      </c>
      <c r="P17" s="49">
        <f t="shared" si="8"/>
        <v>7724</v>
      </c>
      <c r="Q17" s="49">
        <f t="shared" si="8"/>
        <v>-1226</v>
      </c>
      <c r="R17" s="49">
        <f t="shared" si="3"/>
        <v>33173</v>
      </c>
      <c r="S17" s="49">
        <f t="shared" ref="S17" si="9">S15+S16</f>
        <v>0</v>
      </c>
      <c r="T17" s="49">
        <f t="shared" si="1"/>
        <v>33173</v>
      </c>
    </row>
    <row r="18" spans="2:20" s="47" customFormat="1" ht="11.1" customHeight="1" x14ac:dyDescent="0.2">
      <c r="B18" s="77"/>
      <c r="C18" s="78"/>
      <c r="D18" s="77"/>
      <c r="E18" s="77"/>
      <c r="F18" s="77"/>
      <c r="G18" s="77"/>
      <c r="H18" s="77"/>
      <c r="I18" s="77"/>
      <c r="J18" s="77"/>
      <c r="L18" s="77"/>
      <c r="M18" s="78"/>
      <c r="N18" s="77"/>
      <c r="O18" s="77"/>
      <c r="P18" s="77"/>
      <c r="Q18" s="77"/>
      <c r="R18" s="77"/>
      <c r="S18" s="77"/>
      <c r="T18" s="77"/>
    </row>
    <row r="19" spans="2:20" s="47" customFormat="1" ht="11.1" customHeight="1" x14ac:dyDescent="0.2">
      <c r="B19" s="48"/>
      <c r="C19" s="72"/>
      <c r="D19" s="48"/>
      <c r="E19" s="48"/>
      <c r="F19" s="48"/>
      <c r="G19" s="48"/>
      <c r="H19" s="48"/>
      <c r="I19" s="48"/>
      <c r="J19" s="48"/>
      <c r="L19" s="48"/>
      <c r="M19" s="72"/>
      <c r="N19" s="48"/>
      <c r="O19" s="48"/>
      <c r="P19" s="48"/>
      <c r="Q19" s="48"/>
      <c r="R19" s="48"/>
      <c r="S19" s="48"/>
      <c r="T19" s="48"/>
    </row>
    <row r="20" spans="2:20" s="47" customFormat="1" ht="11.1" customHeight="1" x14ac:dyDescent="0.2">
      <c r="B20" s="174" t="s">
        <v>59</v>
      </c>
      <c r="C20" s="252"/>
      <c r="D20" s="244" t="s">
        <v>194</v>
      </c>
      <c r="E20" s="244" t="s">
        <v>195</v>
      </c>
      <c r="F20" s="244" t="s">
        <v>196</v>
      </c>
      <c r="G20" s="244" t="s">
        <v>197</v>
      </c>
      <c r="H20" s="244" t="s">
        <v>198</v>
      </c>
      <c r="I20" s="244" t="s">
        <v>199</v>
      </c>
      <c r="J20" s="244" t="s">
        <v>200</v>
      </c>
      <c r="L20" s="174" t="s">
        <v>59</v>
      </c>
      <c r="M20" s="252"/>
      <c r="N20" s="244" t="s">
        <v>194</v>
      </c>
      <c r="O20" s="244" t="s">
        <v>195</v>
      </c>
      <c r="P20" s="244" t="s">
        <v>196</v>
      </c>
      <c r="Q20" s="244" t="s">
        <v>197</v>
      </c>
      <c r="R20" s="244" t="s">
        <v>198</v>
      </c>
      <c r="S20" s="244" t="s">
        <v>199</v>
      </c>
      <c r="T20" s="244" t="s">
        <v>200</v>
      </c>
    </row>
    <row r="21" spans="2:20" s="47" customFormat="1" ht="11.1" customHeight="1" x14ac:dyDescent="0.2">
      <c r="B21" s="253"/>
      <c r="C21" s="254"/>
      <c r="D21" s="245"/>
      <c r="E21" s="245"/>
      <c r="F21" s="245"/>
      <c r="G21" s="245"/>
      <c r="H21" s="245"/>
      <c r="I21" s="245"/>
      <c r="J21" s="245"/>
      <c r="L21" s="253"/>
      <c r="M21" s="254"/>
      <c r="N21" s="245"/>
      <c r="O21" s="245"/>
      <c r="P21" s="245"/>
      <c r="Q21" s="245"/>
      <c r="R21" s="245"/>
      <c r="S21" s="245"/>
      <c r="T21" s="245"/>
    </row>
    <row r="22" spans="2:20" s="47" customFormat="1" ht="11.1" customHeight="1" x14ac:dyDescent="0.2">
      <c r="B22" s="250" t="s">
        <v>222</v>
      </c>
      <c r="C22" s="251"/>
      <c r="D22" s="251"/>
      <c r="E22" s="251"/>
      <c r="F22" s="251"/>
      <c r="G22" s="251"/>
      <c r="H22" s="73"/>
      <c r="I22" s="73"/>
      <c r="J22" s="74"/>
      <c r="L22" s="250" t="s">
        <v>223</v>
      </c>
      <c r="M22" s="251"/>
      <c r="N22" s="251"/>
      <c r="O22" s="251"/>
      <c r="P22" s="251"/>
      <c r="Q22" s="251"/>
      <c r="R22" s="73"/>
      <c r="S22" s="73"/>
      <c r="T22" s="74"/>
    </row>
    <row r="23" spans="2:20" s="47" customFormat="1" ht="11.1" customHeight="1" x14ac:dyDescent="0.2">
      <c r="B23" s="178" t="s">
        <v>202</v>
      </c>
      <c r="C23" s="179"/>
      <c r="D23" s="84">
        <v>203582</v>
      </c>
      <c r="E23" s="84">
        <v>147533</v>
      </c>
      <c r="F23" s="84">
        <v>110829</v>
      </c>
      <c r="G23" s="84">
        <v>0</v>
      </c>
      <c r="H23" s="52">
        <f>SUM(D23:G23)</f>
        <v>461944</v>
      </c>
      <c r="I23" s="52"/>
      <c r="J23" s="52">
        <f t="shared" ref="J23:J34" si="10">H23+I23</f>
        <v>461944</v>
      </c>
      <c r="L23" s="178" t="s">
        <v>202</v>
      </c>
      <c r="M23" s="179"/>
      <c r="N23" s="84">
        <f t="shared" ref="N23:Q24" si="11">D23-D6</f>
        <v>119621</v>
      </c>
      <c r="O23" s="84">
        <f t="shared" si="11"/>
        <v>67257</v>
      </c>
      <c r="P23" s="84">
        <f t="shared" si="11"/>
        <v>50530</v>
      </c>
      <c r="Q23" s="84">
        <f t="shared" si="11"/>
        <v>0</v>
      </c>
      <c r="R23" s="52">
        <f>SUM(N23:Q23)</f>
        <v>237408</v>
      </c>
      <c r="S23" s="52">
        <f>I23-I6</f>
        <v>0</v>
      </c>
      <c r="T23" s="52">
        <f t="shared" ref="T23:T34" si="12">R23+S23</f>
        <v>237408</v>
      </c>
    </row>
    <row r="24" spans="2:20" s="47" customFormat="1" ht="11.1" customHeight="1" x14ac:dyDescent="0.2">
      <c r="B24" s="178" t="s">
        <v>33</v>
      </c>
      <c r="C24" s="179"/>
      <c r="D24" s="84">
        <v>155090</v>
      </c>
      <c r="E24" s="84">
        <v>109196</v>
      </c>
      <c r="F24" s="84">
        <v>73124</v>
      </c>
      <c r="G24" s="84">
        <v>0</v>
      </c>
      <c r="H24" s="52">
        <f t="shared" ref="H24:H34" si="13">SUM(D24:G24)</f>
        <v>337410</v>
      </c>
      <c r="I24" s="52"/>
      <c r="J24" s="52">
        <f t="shared" si="10"/>
        <v>337410</v>
      </c>
      <c r="L24" s="178" t="s">
        <v>33</v>
      </c>
      <c r="M24" s="179"/>
      <c r="N24" s="84">
        <f t="shared" si="11"/>
        <v>93693</v>
      </c>
      <c r="O24" s="84">
        <f t="shared" si="11"/>
        <v>49336</v>
      </c>
      <c r="P24" s="84">
        <f t="shared" si="11"/>
        <v>32863</v>
      </c>
      <c r="Q24" s="84">
        <f t="shared" si="11"/>
        <v>0</v>
      </c>
      <c r="R24" s="52">
        <f t="shared" ref="R24:R34" si="14">SUM(N24:Q24)</f>
        <v>175892</v>
      </c>
      <c r="S24" s="52">
        <f>I24-I7</f>
        <v>0</v>
      </c>
      <c r="T24" s="52">
        <f t="shared" si="12"/>
        <v>175892</v>
      </c>
    </row>
    <row r="25" spans="2:20" s="47" customFormat="1" ht="11.1" customHeight="1" x14ac:dyDescent="0.2">
      <c r="B25" s="239" t="s">
        <v>203</v>
      </c>
      <c r="C25" s="240"/>
      <c r="D25" s="85">
        <f>D23-D24</f>
        <v>48492</v>
      </c>
      <c r="E25" s="85">
        <f>E23-E24</f>
        <v>38337</v>
      </c>
      <c r="F25" s="85">
        <f>F23-F24</f>
        <v>37705</v>
      </c>
      <c r="G25" s="85">
        <f>G23-G24</f>
        <v>0</v>
      </c>
      <c r="H25" s="49">
        <f t="shared" si="13"/>
        <v>124534</v>
      </c>
      <c r="I25" s="49">
        <f>I23-I24</f>
        <v>0</v>
      </c>
      <c r="J25" s="49">
        <f t="shared" si="10"/>
        <v>124534</v>
      </c>
      <c r="L25" s="239" t="s">
        <v>203</v>
      </c>
      <c r="M25" s="240"/>
      <c r="N25" s="85">
        <f>N23-N24</f>
        <v>25928</v>
      </c>
      <c r="O25" s="85">
        <f>O23-O24</f>
        <v>17921</v>
      </c>
      <c r="P25" s="85">
        <f>P23-P24</f>
        <v>17667</v>
      </c>
      <c r="Q25" s="85">
        <f>Q23-Q24</f>
        <v>0</v>
      </c>
      <c r="R25" s="49">
        <f t="shared" si="14"/>
        <v>61516</v>
      </c>
      <c r="S25" s="49">
        <f>S23-S24</f>
        <v>0</v>
      </c>
      <c r="T25" s="49">
        <f t="shared" si="12"/>
        <v>61516</v>
      </c>
    </row>
    <row r="26" spans="2:20" s="47" customFormat="1" ht="11.1" customHeight="1" x14ac:dyDescent="0.2">
      <c r="B26" s="171" t="s">
        <v>4</v>
      </c>
      <c r="C26" s="172"/>
      <c r="D26" s="84">
        <v>7134</v>
      </c>
      <c r="E26" s="84">
        <v>3280</v>
      </c>
      <c r="F26" s="84">
        <v>6254</v>
      </c>
      <c r="G26" s="84">
        <v>255</v>
      </c>
      <c r="H26" s="52">
        <f t="shared" si="13"/>
        <v>16923</v>
      </c>
      <c r="I26" s="52"/>
      <c r="J26" s="52">
        <f t="shared" si="10"/>
        <v>16923</v>
      </c>
      <c r="L26" s="171" t="s">
        <v>4</v>
      </c>
      <c r="M26" s="172"/>
      <c r="N26" s="84">
        <f t="shared" ref="N26:Q27" si="15">D26-D9</f>
        <v>3439</v>
      </c>
      <c r="O26" s="84">
        <f t="shared" si="15"/>
        <v>1666</v>
      </c>
      <c r="P26" s="84">
        <f t="shared" si="15"/>
        <v>2692</v>
      </c>
      <c r="Q26" s="84">
        <f t="shared" si="15"/>
        <v>83</v>
      </c>
      <c r="R26" s="52">
        <f t="shared" si="14"/>
        <v>7880</v>
      </c>
      <c r="S26" s="52">
        <f>I26-I9</f>
        <v>0</v>
      </c>
      <c r="T26" s="52">
        <f t="shared" si="12"/>
        <v>7880</v>
      </c>
    </row>
    <row r="27" spans="2:20" s="47" customFormat="1" ht="11.1" customHeight="1" x14ac:dyDescent="0.2">
      <c r="B27" s="171" t="s">
        <v>5</v>
      </c>
      <c r="C27" s="172"/>
      <c r="D27" s="84">
        <v>27631</v>
      </c>
      <c r="E27" s="84">
        <v>13986</v>
      </c>
      <c r="F27" s="84">
        <v>19698</v>
      </c>
      <c r="G27" s="84">
        <v>1912</v>
      </c>
      <c r="H27" s="52">
        <f t="shared" si="13"/>
        <v>63227</v>
      </c>
      <c r="I27" s="52"/>
      <c r="J27" s="52">
        <f t="shared" si="10"/>
        <v>63227</v>
      </c>
      <c r="L27" s="171" t="s">
        <v>5</v>
      </c>
      <c r="M27" s="172"/>
      <c r="N27" s="84">
        <f t="shared" si="15"/>
        <v>13895</v>
      </c>
      <c r="O27" s="84">
        <f t="shared" si="15"/>
        <v>6470</v>
      </c>
      <c r="P27" s="84">
        <f t="shared" si="15"/>
        <v>9603</v>
      </c>
      <c r="Q27" s="84">
        <f t="shared" si="15"/>
        <v>858</v>
      </c>
      <c r="R27" s="52">
        <f t="shared" si="14"/>
        <v>30826</v>
      </c>
      <c r="S27" s="52">
        <f>I27-I10</f>
        <v>0</v>
      </c>
      <c r="T27" s="52">
        <f t="shared" si="12"/>
        <v>30826</v>
      </c>
    </row>
    <row r="28" spans="2:20" s="47" customFormat="1" ht="11.1" customHeight="1" x14ac:dyDescent="0.2">
      <c r="B28" s="239" t="s">
        <v>204</v>
      </c>
      <c r="C28" s="240"/>
      <c r="D28" s="85">
        <f t="shared" ref="D28:G28" si="16">D25-D26-D27</f>
        <v>13727</v>
      </c>
      <c r="E28" s="85">
        <f t="shared" si="16"/>
        <v>21071</v>
      </c>
      <c r="F28" s="85">
        <f t="shared" si="16"/>
        <v>11753</v>
      </c>
      <c r="G28" s="85">
        <f t="shared" si="16"/>
        <v>-2167</v>
      </c>
      <c r="H28" s="49">
        <f t="shared" si="13"/>
        <v>44384</v>
      </c>
      <c r="I28" s="49">
        <f>I25-I26-I27</f>
        <v>0</v>
      </c>
      <c r="J28" s="49">
        <f t="shared" si="10"/>
        <v>44384</v>
      </c>
      <c r="L28" s="239" t="s">
        <v>204</v>
      </c>
      <c r="M28" s="240"/>
      <c r="N28" s="85">
        <f>N25-N26-N27</f>
        <v>8594</v>
      </c>
      <c r="O28" s="85">
        <f>O25-O26-O27</f>
        <v>9785</v>
      </c>
      <c r="P28" s="85">
        <f>P25-P26-P27</f>
        <v>5372</v>
      </c>
      <c r="Q28" s="85">
        <f>Q25-Q26-Q27</f>
        <v>-941</v>
      </c>
      <c r="R28" s="49">
        <f t="shared" si="14"/>
        <v>22810</v>
      </c>
      <c r="S28" s="49">
        <f>S25-S26-S27</f>
        <v>0</v>
      </c>
      <c r="T28" s="49">
        <f t="shared" si="12"/>
        <v>22810</v>
      </c>
    </row>
    <row r="29" spans="2:20" s="47" customFormat="1" ht="11.1" customHeight="1" x14ac:dyDescent="0.2">
      <c r="B29" s="171" t="s">
        <v>205</v>
      </c>
      <c r="C29" s="172"/>
      <c r="D29" s="84">
        <v>-1239</v>
      </c>
      <c r="E29" s="84">
        <v>-611</v>
      </c>
      <c r="F29" s="84">
        <v>-2524</v>
      </c>
      <c r="G29" s="84">
        <v>0</v>
      </c>
      <c r="H29" s="52">
        <f t="shared" si="13"/>
        <v>-4374</v>
      </c>
      <c r="I29" s="52">
        <v>0</v>
      </c>
      <c r="J29" s="52">
        <f t="shared" si="10"/>
        <v>-4374</v>
      </c>
      <c r="L29" s="171" t="s">
        <v>205</v>
      </c>
      <c r="M29" s="172"/>
      <c r="N29" s="84">
        <f t="shared" ref="N29:P31" si="17">D29-D12</f>
        <v>-1408</v>
      </c>
      <c r="O29" s="84">
        <f t="shared" si="17"/>
        <v>-478</v>
      </c>
      <c r="P29" s="84">
        <f t="shared" si="17"/>
        <v>-1304</v>
      </c>
      <c r="Q29" s="84">
        <v>0</v>
      </c>
      <c r="R29" s="52">
        <f t="shared" si="14"/>
        <v>-3190</v>
      </c>
      <c r="S29" s="52">
        <f>I29-I12</f>
        <v>0</v>
      </c>
      <c r="T29" s="52">
        <f t="shared" si="12"/>
        <v>-3190</v>
      </c>
    </row>
    <row r="30" spans="2:20" s="47" customFormat="1" ht="11.1" customHeight="1" x14ac:dyDescent="0.2">
      <c r="B30" s="180" t="s">
        <v>206</v>
      </c>
      <c r="C30" s="181"/>
      <c r="D30" s="84">
        <v>0</v>
      </c>
      <c r="E30" s="84">
        <v>0</v>
      </c>
      <c r="F30" s="84">
        <v>400</v>
      </c>
      <c r="G30" s="84">
        <v>0</v>
      </c>
      <c r="H30" s="52">
        <f t="shared" si="13"/>
        <v>400</v>
      </c>
      <c r="I30" s="52"/>
      <c r="J30" s="52">
        <f t="shared" si="10"/>
        <v>400</v>
      </c>
      <c r="L30" s="180" t="s">
        <v>206</v>
      </c>
      <c r="M30" s="181"/>
      <c r="N30" s="84">
        <f t="shared" si="17"/>
        <v>0</v>
      </c>
      <c r="O30" s="84">
        <f t="shared" si="17"/>
        <v>0</v>
      </c>
      <c r="P30" s="84">
        <f t="shared" si="17"/>
        <v>406</v>
      </c>
      <c r="Q30" s="84">
        <v>0</v>
      </c>
      <c r="R30" s="52">
        <f t="shared" si="14"/>
        <v>406</v>
      </c>
      <c r="S30" s="52">
        <f>I30-I13</f>
        <v>0</v>
      </c>
      <c r="T30" s="52">
        <f t="shared" si="12"/>
        <v>406</v>
      </c>
    </row>
    <row r="31" spans="2:20" s="47" customFormat="1" ht="11.1" customHeight="1" x14ac:dyDescent="0.2">
      <c r="B31" s="180" t="s">
        <v>27</v>
      </c>
      <c r="C31" s="181"/>
      <c r="D31" s="84"/>
      <c r="E31" s="84"/>
      <c r="F31" s="84"/>
      <c r="G31" s="84"/>
      <c r="H31" s="52">
        <f t="shared" si="13"/>
        <v>0</v>
      </c>
      <c r="I31" s="52">
        <v>0</v>
      </c>
      <c r="J31" s="52">
        <f t="shared" si="10"/>
        <v>0</v>
      </c>
      <c r="L31" s="180" t="s">
        <v>27</v>
      </c>
      <c r="M31" s="181"/>
      <c r="N31" s="84">
        <f t="shared" si="17"/>
        <v>0</v>
      </c>
      <c r="O31" s="84">
        <f t="shared" si="17"/>
        <v>0</v>
      </c>
      <c r="P31" s="84">
        <f t="shared" si="17"/>
        <v>0</v>
      </c>
      <c r="Q31" s="84">
        <v>0</v>
      </c>
      <c r="R31" s="52">
        <f t="shared" si="14"/>
        <v>0</v>
      </c>
      <c r="S31" s="52">
        <f>I31-I14</f>
        <v>0</v>
      </c>
      <c r="T31" s="52">
        <f t="shared" si="12"/>
        <v>0</v>
      </c>
    </row>
    <row r="32" spans="2:20" s="47" customFormat="1" ht="11.1" customHeight="1" x14ac:dyDescent="0.2">
      <c r="B32" s="239" t="s">
        <v>207</v>
      </c>
      <c r="C32" s="240"/>
      <c r="D32" s="85">
        <f t="shared" ref="D32:G32" si="18">D28+D29+D31+D30</f>
        <v>12488</v>
      </c>
      <c r="E32" s="85">
        <f t="shared" si="18"/>
        <v>20460</v>
      </c>
      <c r="F32" s="85">
        <f t="shared" si="18"/>
        <v>9629</v>
      </c>
      <c r="G32" s="85">
        <f t="shared" si="18"/>
        <v>-2167</v>
      </c>
      <c r="H32" s="49">
        <f t="shared" si="13"/>
        <v>40410</v>
      </c>
      <c r="I32" s="49">
        <f>I28+I29+I31</f>
        <v>0</v>
      </c>
      <c r="J32" s="49">
        <f t="shared" si="10"/>
        <v>40410</v>
      </c>
      <c r="L32" s="239" t="s">
        <v>207</v>
      </c>
      <c r="M32" s="240"/>
      <c r="N32" s="85">
        <f t="shared" ref="N32:Q32" si="19">N28+N29+N30+N31</f>
        <v>7186</v>
      </c>
      <c r="O32" s="85">
        <f t="shared" si="19"/>
        <v>9307</v>
      </c>
      <c r="P32" s="85">
        <f t="shared" si="19"/>
        <v>4474</v>
      </c>
      <c r="Q32" s="85">
        <f t="shared" si="19"/>
        <v>-941</v>
      </c>
      <c r="R32" s="49">
        <f t="shared" si="14"/>
        <v>20026</v>
      </c>
      <c r="S32" s="49">
        <f>S28+S29+S31</f>
        <v>0</v>
      </c>
      <c r="T32" s="49">
        <f t="shared" si="12"/>
        <v>20026</v>
      </c>
    </row>
    <row r="33" spans="2:20" s="47" customFormat="1" ht="11.1" customHeight="1" x14ac:dyDescent="0.2">
      <c r="B33" s="75" t="s">
        <v>22</v>
      </c>
      <c r="C33" s="76"/>
      <c r="D33" s="85">
        <v>13371</v>
      </c>
      <c r="E33" s="85">
        <v>7668</v>
      </c>
      <c r="F33" s="85">
        <v>4731</v>
      </c>
      <c r="G33" s="85">
        <v>0</v>
      </c>
      <c r="H33" s="49">
        <f t="shared" si="13"/>
        <v>25770</v>
      </c>
      <c r="I33" s="49">
        <v>0</v>
      </c>
      <c r="J33" s="49">
        <f t="shared" si="10"/>
        <v>25770</v>
      </c>
      <c r="L33" s="75" t="s">
        <v>22</v>
      </c>
      <c r="M33" s="76"/>
      <c r="N33" s="85">
        <f>D33-D16</f>
        <v>6902</v>
      </c>
      <c r="O33" s="85">
        <f>E33-E16</f>
        <v>3917</v>
      </c>
      <c r="P33" s="85">
        <f>F33-F16</f>
        <v>2162</v>
      </c>
      <c r="Q33" s="85">
        <f>G33-G16</f>
        <v>0</v>
      </c>
      <c r="R33" s="49">
        <f t="shared" si="14"/>
        <v>12981</v>
      </c>
      <c r="S33" s="49">
        <f>I33-I16</f>
        <v>0</v>
      </c>
      <c r="T33" s="49">
        <f t="shared" si="12"/>
        <v>12981</v>
      </c>
    </row>
    <row r="34" spans="2:20" s="47" customFormat="1" ht="11.1" customHeight="1" x14ac:dyDescent="0.2">
      <c r="B34" s="239" t="s">
        <v>23</v>
      </c>
      <c r="C34" s="240"/>
      <c r="D34" s="85">
        <f t="shared" ref="D34:G34" si="20">D32+D33</f>
        <v>25859</v>
      </c>
      <c r="E34" s="85">
        <f t="shared" si="20"/>
        <v>28128</v>
      </c>
      <c r="F34" s="85">
        <f t="shared" si="20"/>
        <v>14360</v>
      </c>
      <c r="G34" s="85">
        <f t="shared" si="20"/>
        <v>-2167</v>
      </c>
      <c r="H34" s="49">
        <f t="shared" si="13"/>
        <v>66180</v>
      </c>
      <c r="I34" s="49">
        <f>I32+I33</f>
        <v>0</v>
      </c>
      <c r="J34" s="49">
        <f t="shared" si="10"/>
        <v>66180</v>
      </c>
      <c r="L34" s="239" t="s">
        <v>23</v>
      </c>
      <c r="M34" s="240"/>
      <c r="N34" s="85">
        <f>N32+N33</f>
        <v>14088</v>
      </c>
      <c r="O34" s="85">
        <f t="shared" ref="O34:Q34" si="21">O32+O33</f>
        <v>13224</v>
      </c>
      <c r="P34" s="85">
        <f t="shared" si="21"/>
        <v>6636</v>
      </c>
      <c r="Q34" s="85">
        <f t="shared" si="21"/>
        <v>-941</v>
      </c>
      <c r="R34" s="49">
        <f t="shared" si="14"/>
        <v>33007</v>
      </c>
      <c r="S34" s="49">
        <f>S32+S33</f>
        <v>0</v>
      </c>
      <c r="T34" s="49">
        <f t="shared" si="12"/>
        <v>33007</v>
      </c>
    </row>
    <row r="35" spans="2:20" s="47" customFormat="1" ht="11.1" customHeight="1" x14ac:dyDescent="0.2">
      <c r="C35" s="54"/>
      <c r="M35" s="54"/>
    </row>
    <row r="36" spans="2:20" ht="11.1" customHeight="1" x14ac:dyDescent="0.2">
      <c r="B36" s="48"/>
      <c r="C36" s="72"/>
      <c r="D36" s="48"/>
      <c r="E36" s="48"/>
      <c r="F36" s="48"/>
      <c r="G36" s="48"/>
      <c r="H36" s="48"/>
      <c r="I36" s="48"/>
      <c r="J36" s="86"/>
      <c r="L36" s="48"/>
      <c r="M36" s="72"/>
      <c r="N36" s="48"/>
      <c r="O36" s="48"/>
      <c r="P36" s="48"/>
      <c r="Q36" s="48"/>
      <c r="R36" s="48"/>
      <c r="S36" s="48"/>
      <c r="T36" s="86"/>
    </row>
    <row r="37" spans="2:20" ht="11.1" customHeight="1" x14ac:dyDescent="0.2">
      <c r="B37" s="174" t="s">
        <v>59</v>
      </c>
      <c r="C37" s="252"/>
      <c r="D37" s="244" t="s">
        <v>194</v>
      </c>
      <c r="E37" s="244" t="s">
        <v>195</v>
      </c>
      <c r="F37" s="244" t="s">
        <v>196</v>
      </c>
      <c r="G37" s="244" t="s">
        <v>197</v>
      </c>
      <c r="H37" s="244" t="s">
        <v>198</v>
      </c>
      <c r="I37" s="244" t="s">
        <v>199</v>
      </c>
      <c r="J37" s="244" t="s">
        <v>200</v>
      </c>
      <c r="L37" s="174" t="s">
        <v>59</v>
      </c>
      <c r="M37" s="252"/>
      <c r="N37" s="244" t="s">
        <v>194</v>
      </c>
      <c r="O37" s="244" t="s">
        <v>195</v>
      </c>
      <c r="P37" s="244" t="s">
        <v>196</v>
      </c>
      <c r="Q37" s="244" t="s">
        <v>197</v>
      </c>
      <c r="R37" s="244" t="s">
        <v>198</v>
      </c>
      <c r="S37" s="244" t="s">
        <v>199</v>
      </c>
      <c r="T37" s="244" t="s">
        <v>200</v>
      </c>
    </row>
    <row r="38" spans="2:20" ht="11.1" customHeight="1" x14ac:dyDescent="0.2">
      <c r="B38" s="253"/>
      <c r="C38" s="254"/>
      <c r="D38" s="245"/>
      <c r="E38" s="245"/>
      <c r="F38" s="245"/>
      <c r="G38" s="245"/>
      <c r="H38" s="245"/>
      <c r="I38" s="245"/>
      <c r="J38" s="245"/>
      <c r="L38" s="253"/>
      <c r="M38" s="254"/>
      <c r="N38" s="245"/>
      <c r="O38" s="245"/>
      <c r="P38" s="245"/>
      <c r="Q38" s="245"/>
      <c r="R38" s="245"/>
      <c r="S38" s="245"/>
      <c r="T38" s="245"/>
    </row>
    <row r="39" spans="2:20" ht="11.1" customHeight="1" x14ac:dyDescent="0.2">
      <c r="B39" s="250" t="s">
        <v>224</v>
      </c>
      <c r="C39" s="251"/>
      <c r="D39" s="251"/>
      <c r="E39" s="251"/>
      <c r="F39" s="251"/>
      <c r="G39" s="251"/>
      <c r="H39" s="73"/>
      <c r="I39" s="73"/>
      <c r="J39" s="80"/>
      <c r="L39" s="250" t="s">
        <v>225</v>
      </c>
      <c r="M39" s="251"/>
      <c r="N39" s="251"/>
      <c r="O39" s="251"/>
      <c r="P39" s="251"/>
      <c r="Q39" s="251"/>
      <c r="R39" s="73"/>
      <c r="S39" s="73"/>
      <c r="T39" s="80"/>
    </row>
    <row r="40" spans="2:20" ht="11.1" customHeight="1" x14ac:dyDescent="0.2">
      <c r="B40" s="178" t="s">
        <v>202</v>
      </c>
      <c r="C40" s="179"/>
      <c r="D40" s="14">
        <v>335926</v>
      </c>
      <c r="E40" s="14">
        <v>198390</v>
      </c>
      <c r="F40" s="14">
        <v>171754</v>
      </c>
      <c r="G40" s="14"/>
      <c r="H40" s="14">
        <f t="shared" ref="H40:H51" si="22">SUM(D40:G40)</f>
        <v>706070</v>
      </c>
      <c r="I40" s="14"/>
      <c r="J40" s="14">
        <f>H40+I40</f>
        <v>706070</v>
      </c>
      <c r="L40" s="178" t="s">
        <v>202</v>
      </c>
      <c r="M40" s="179"/>
      <c r="N40" s="52">
        <f t="shared" ref="N40:Q41" si="23">D40-D23</f>
        <v>132344</v>
      </c>
      <c r="O40" s="52">
        <f t="shared" si="23"/>
        <v>50857</v>
      </c>
      <c r="P40" s="52">
        <f t="shared" si="23"/>
        <v>60925</v>
      </c>
      <c r="Q40" s="52">
        <f t="shared" si="23"/>
        <v>0</v>
      </c>
      <c r="R40" s="52">
        <f>SUM(N40:Q40)</f>
        <v>244126</v>
      </c>
      <c r="S40" s="52">
        <f t="shared" ref="S40:S51" si="24">I40-I23</f>
        <v>0</v>
      </c>
      <c r="T40" s="52">
        <f t="shared" ref="T40:T51" si="25">R40+S40</f>
        <v>244126</v>
      </c>
    </row>
    <row r="41" spans="2:20" ht="11.1" customHeight="1" x14ac:dyDescent="0.2">
      <c r="B41" s="178" t="s">
        <v>33</v>
      </c>
      <c r="C41" s="179"/>
      <c r="D41" s="14">
        <v>257293</v>
      </c>
      <c r="E41" s="14">
        <v>149767</v>
      </c>
      <c r="F41" s="14">
        <v>115185</v>
      </c>
      <c r="G41" s="14"/>
      <c r="H41" s="14">
        <f t="shared" si="22"/>
        <v>522245</v>
      </c>
      <c r="I41" s="14"/>
      <c r="J41" s="14">
        <f t="shared" ref="J41:J51" si="26">H41+I41</f>
        <v>522245</v>
      </c>
      <c r="L41" s="178" t="s">
        <v>33</v>
      </c>
      <c r="M41" s="179"/>
      <c r="N41" s="52">
        <f t="shared" si="23"/>
        <v>102203</v>
      </c>
      <c r="O41" s="52">
        <f t="shared" si="23"/>
        <v>40571</v>
      </c>
      <c r="P41" s="52">
        <f t="shared" si="23"/>
        <v>42061</v>
      </c>
      <c r="Q41" s="52">
        <f t="shared" si="23"/>
        <v>0</v>
      </c>
      <c r="R41" s="52">
        <f t="shared" ref="R41:R51" si="27">SUM(N41:Q41)</f>
        <v>184835</v>
      </c>
      <c r="S41" s="52">
        <f t="shared" si="24"/>
        <v>0</v>
      </c>
      <c r="T41" s="52">
        <f t="shared" si="25"/>
        <v>184835</v>
      </c>
    </row>
    <row r="42" spans="2:20" ht="11.1" customHeight="1" x14ac:dyDescent="0.2">
      <c r="B42" s="239" t="s">
        <v>203</v>
      </c>
      <c r="C42" s="240"/>
      <c r="D42" s="7">
        <f>D40-D41</f>
        <v>78633</v>
      </c>
      <c r="E42" s="7">
        <f>E40-E41</f>
        <v>48623</v>
      </c>
      <c r="F42" s="7">
        <f>F40-F41</f>
        <v>56569</v>
      </c>
      <c r="G42" s="7">
        <f>G40-G41</f>
        <v>0</v>
      </c>
      <c r="H42" s="7">
        <f t="shared" si="22"/>
        <v>183825</v>
      </c>
      <c r="I42" s="7">
        <f>I40-I41</f>
        <v>0</v>
      </c>
      <c r="J42" s="7">
        <f t="shared" si="26"/>
        <v>183825</v>
      </c>
      <c r="L42" s="239" t="s">
        <v>203</v>
      </c>
      <c r="M42" s="240"/>
      <c r="N42" s="49">
        <f>N40-N41</f>
        <v>30141</v>
      </c>
      <c r="O42" s="49">
        <f>O40-O41</f>
        <v>10286</v>
      </c>
      <c r="P42" s="49">
        <f>P40-P41</f>
        <v>18864</v>
      </c>
      <c r="Q42" s="49">
        <f>Q40-Q41</f>
        <v>0</v>
      </c>
      <c r="R42" s="49">
        <f t="shared" si="27"/>
        <v>59291</v>
      </c>
      <c r="S42" s="52">
        <f t="shared" si="24"/>
        <v>0</v>
      </c>
      <c r="T42" s="49">
        <f t="shared" si="25"/>
        <v>59291</v>
      </c>
    </row>
    <row r="43" spans="2:20" ht="11.1" customHeight="1" x14ac:dyDescent="0.2">
      <c r="B43" s="171" t="s">
        <v>4</v>
      </c>
      <c r="C43" s="172"/>
      <c r="D43" s="14">
        <v>10333</v>
      </c>
      <c r="E43" s="14">
        <v>4386</v>
      </c>
      <c r="F43" s="14">
        <v>9211</v>
      </c>
      <c r="G43" s="14">
        <v>367</v>
      </c>
      <c r="H43" s="14">
        <f t="shared" si="22"/>
        <v>24297</v>
      </c>
      <c r="I43" s="14"/>
      <c r="J43" s="14">
        <f t="shared" si="26"/>
        <v>24297</v>
      </c>
      <c r="L43" s="171" t="s">
        <v>4</v>
      </c>
      <c r="M43" s="172"/>
      <c r="N43" s="52">
        <f t="shared" ref="N43:Q44" si="28">D43-D26</f>
        <v>3199</v>
      </c>
      <c r="O43" s="52">
        <f t="shared" si="28"/>
        <v>1106</v>
      </c>
      <c r="P43" s="52">
        <f t="shared" si="28"/>
        <v>2957</v>
      </c>
      <c r="Q43" s="52">
        <f t="shared" si="28"/>
        <v>112</v>
      </c>
      <c r="R43" s="52">
        <f t="shared" si="27"/>
        <v>7374</v>
      </c>
      <c r="S43" s="52">
        <f t="shared" si="24"/>
        <v>0</v>
      </c>
      <c r="T43" s="52">
        <f t="shared" si="25"/>
        <v>7374</v>
      </c>
    </row>
    <row r="44" spans="2:20" ht="11.1" customHeight="1" x14ac:dyDescent="0.2">
      <c r="B44" s="171" t="s">
        <v>5</v>
      </c>
      <c r="C44" s="172"/>
      <c r="D44" s="14">
        <v>40473</v>
      </c>
      <c r="E44" s="14">
        <v>20283</v>
      </c>
      <c r="F44" s="14">
        <v>30335</v>
      </c>
      <c r="G44" s="14">
        <v>2759</v>
      </c>
      <c r="H44" s="14">
        <f t="shared" si="22"/>
        <v>93850</v>
      </c>
      <c r="I44" s="14"/>
      <c r="J44" s="14">
        <f t="shared" si="26"/>
        <v>93850</v>
      </c>
      <c r="L44" s="171" t="s">
        <v>5</v>
      </c>
      <c r="M44" s="172"/>
      <c r="N44" s="52">
        <f t="shared" si="28"/>
        <v>12842</v>
      </c>
      <c r="O44" s="52">
        <f t="shared" si="28"/>
        <v>6297</v>
      </c>
      <c r="P44" s="52">
        <f t="shared" si="28"/>
        <v>10637</v>
      </c>
      <c r="Q44" s="52">
        <f t="shared" si="28"/>
        <v>847</v>
      </c>
      <c r="R44" s="52">
        <f t="shared" si="27"/>
        <v>30623</v>
      </c>
      <c r="S44" s="52">
        <f t="shared" si="24"/>
        <v>0</v>
      </c>
      <c r="T44" s="52">
        <f t="shared" si="25"/>
        <v>30623</v>
      </c>
    </row>
    <row r="45" spans="2:20" ht="11.1" customHeight="1" x14ac:dyDescent="0.2">
      <c r="B45" s="239" t="s">
        <v>204</v>
      </c>
      <c r="C45" s="240"/>
      <c r="D45" s="7">
        <f>D42-D43-D44</f>
        <v>27827</v>
      </c>
      <c r="E45" s="7">
        <f>E42-E43-E44</f>
        <v>23954</v>
      </c>
      <c r="F45" s="7">
        <f>F42-F43-F44</f>
        <v>17023</v>
      </c>
      <c r="G45" s="7">
        <f>G42-G43-G44</f>
        <v>-3126</v>
      </c>
      <c r="H45" s="7">
        <f t="shared" si="22"/>
        <v>65678</v>
      </c>
      <c r="I45" s="7">
        <f>I42-I43-I44</f>
        <v>0</v>
      </c>
      <c r="J45" s="7">
        <f t="shared" si="26"/>
        <v>65678</v>
      </c>
      <c r="L45" s="239" t="s">
        <v>204</v>
      </c>
      <c r="M45" s="240"/>
      <c r="N45" s="49">
        <f>N42-N43-N44</f>
        <v>14100</v>
      </c>
      <c r="O45" s="49">
        <f>O42-O43-O44</f>
        <v>2883</v>
      </c>
      <c r="P45" s="49">
        <f>P42-P43-P44</f>
        <v>5270</v>
      </c>
      <c r="Q45" s="49">
        <f>Q42-Q43-Q44</f>
        <v>-959</v>
      </c>
      <c r="R45" s="49">
        <f t="shared" si="27"/>
        <v>21294</v>
      </c>
      <c r="S45" s="52">
        <f t="shared" si="24"/>
        <v>0</v>
      </c>
      <c r="T45" s="49">
        <f t="shared" si="25"/>
        <v>21294</v>
      </c>
    </row>
    <row r="46" spans="2:20" ht="11.1" customHeight="1" x14ac:dyDescent="0.2">
      <c r="B46" s="171" t="s">
        <v>205</v>
      </c>
      <c r="C46" s="172"/>
      <c r="D46" s="14">
        <v>-3810</v>
      </c>
      <c r="E46" s="14">
        <v>-748</v>
      </c>
      <c r="F46" s="14">
        <v>-1805</v>
      </c>
      <c r="G46" s="14">
        <v>0</v>
      </c>
      <c r="H46" s="14">
        <f t="shared" si="22"/>
        <v>-6363</v>
      </c>
      <c r="I46" s="14">
        <v>0</v>
      </c>
      <c r="J46" s="14">
        <f t="shared" si="26"/>
        <v>-6363</v>
      </c>
      <c r="L46" s="171" t="s">
        <v>205</v>
      </c>
      <c r="M46" s="172"/>
      <c r="N46" s="52">
        <f t="shared" ref="N46:Q48" si="29">D46-D29</f>
        <v>-2571</v>
      </c>
      <c r="O46" s="52">
        <f t="shared" si="29"/>
        <v>-137</v>
      </c>
      <c r="P46" s="52">
        <f t="shared" si="29"/>
        <v>719</v>
      </c>
      <c r="Q46" s="52">
        <f t="shared" si="29"/>
        <v>0</v>
      </c>
      <c r="R46" s="52">
        <f t="shared" si="27"/>
        <v>-1989</v>
      </c>
      <c r="S46" s="52">
        <f t="shared" si="24"/>
        <v>0</v>
      </c>
      <c r="T46" s="52">
        <f t="shared" si="25"/>
        <v>-1989</v>
      </c>
    </row>
    <row r="47" spans="2:20" ht="11.1" customHeight="1" x14ac:dyDescent="0.2">
      <c r="B47" s="180" t="s">
        <v>206</v>
      </c>
      <c r="C47" s="181"/>
      <c r="D47" s="14">
        <v>0</v>
      </c>
      <c r="E47" s="14">
        <v>0</v>
      </c>
      <c r="F47" s="14">
        <v>859</v>
      </c>
      <c r="G47" s="14">
        <v>0</v>
      </c>
      <c r="H47" s="14">
        <f t="shared" si="22"/>
        <v>859</v>
      </c>
      <c r="I47" s="14"/>
      <c r="J47" s="14">
        <f t="shared" si="26"/>
        <v>859</v>
      </c>
      <c r="L47" s="180" t="s">
        <v>206</v>
      </c>
      <c r="M47" s="181"/>
      <c r="N47" s="52">
        <f t="shared" si="29"/>
        <v>0</v>
      </c>
      <c r="O47" s="52">
        <f t="shared" si="29"/>
        <v>0</v>
      </c>
      <c r="P47" s="52">
        <f t="shared" si="29"/>
        <v>459</v>
      </c>
      <c r="Q47" s="52">
        <f t="shared" si="29"/>
        <v>0</v>
      </c>
      <c r="R47" s="52">
        <f t="shared" si="27"/>
        <v>459</v>
      </c>
      <c r="S47" s="52">
        <f t="shared" si="24"/>
        <v>0</v>
      </c>
      <c r="T47" s="52">
        <f t="shared" si="25"/>
        <v>459</v>
      </c>
    </row>
    <row r="48" spans="2:20" ht="11.1" customHeight="1" x14ac:dyDescent="0.2">
      <c r="B48" s="180" t="s">
        <v>27</v>
      </c>
      <c r="C48" s="181"/>
      <c r="D48" s="14"/>
      <c r="E48" s="14"/>
      <c r="F48" s="14"/>
      <c r="G48" s="14"/>
      <c r="H48" s="14">
        <f t="shared" si="22"/>
        <v>0</v>
      </c>
      <c r="I48" s="14">
        <v>0</v>
      </c>
      <c r="J48" s="14">
        <f t="shared" si="26"/>
        <v>0</v>
      </c>
      <c r="L48" s="180" t="s">
        <v>27</v>
      </c>
      <c r="M48" s="181"/>
      <c r="N48" s="52">
        <f t="shared" si="29"/>
        <v>0</v>
      </c>
      <c r="O48" s="52">
        <f t="shared" si="29"/>
        <v>0</v>
      </c>
      <c r="P48" s="52">
        <f t="shared" si="29"/>
        <v>0</v>
      </c>
      <c r="Q48" s="52">
        <f t="shared" si="29"/>
        <v>0</v>
      </c>
      <c r="R48" s="52">
        <f t="shared" si="27"/>
        <v>0</v>
      </c>
      <c r="S48" s="52">
        <f t="shared" si="24"/>
        <v>0</v>
      </c>
      <c r="T48" s="52">
        <f t="shared" si="25"/>
        <v>0</v>
      </c>
    </row>
    <row r="49" spans="2:20" ht="11.1" customHeight="1" x14ac:dyDescent="0.2">
      <c r="B49" s="239" t="s">
        <v>207</v>
      </c>
      <c r="C49" s="240"/>
      <c r="D49" s="7">
        <f t="shared" ref="D49:G49" si="30">D45+D46+D47+D48</f>
        <v>24017</v>
      </c>
      <c r="E49" s="7">
        <f t="shared" si="30"/>
        <v>23206</v>
      </c>
      <c r="F49" s="7">
        <f t="shared" si="30"/>
        <v>16077</v>
      </c>
      <c r="G49" s="7">
        <f t="shared" si="30"/>
        <v>-3126</v>
      </c>
      <c r="H49" s="7">
        <f t="shared" si="22"/>
        <v>60174</v>
      </c>
      <c r="I49" s="7">
        <f>I45+I46+I48</f>
        <v>0</v>
      </c>
      <c r="J49" s="7">
        <f>H49+I49</f>
        <v>60174</v>
      </c>
      <c r="L49" s="239" t="s">
        <v>207</v>
      </c>
      <c r="M49" s="240"/>
      <c r="N49" s="49">
        <f t="shared" ref="N49:Q49" si="31">N45+N46+N47+N48</f>
        <v>11529</v>
      </c>
      <c r="O49" s="49">
        <f t="shared" si="31"/>
        <v>2746</v>
      </c>
      <c r="P49" s="49">
        <f t="shared" si="31"/>
        <v>6448</v>
      </c>
      <c r="Q49" s="49">
        <f t="shared" si="31"/>
        <v>-959</v>
      </c>
      <c r="R49" s="49">
        <f t="shared" si="27"/>
        <v>19764</v>
      </c>
      <c r="S49" s="52">
        <f t="shared" si="24"/>
        <v>0</v>
      </c>
      <c r="T49" s="49">
        <f t="shared" si="25"/>
        <v>19764</v>
      </c>
    </row>
    <row r="50" spans="2:20" ht="11.1" customHeight="1" x14ac:dyDescent="0.2">
      <c r="B50" s="75" t="s">
        <v>22</v>
      </c>
      <c r="C50" s="76"/>
      <c r="D50" s="7">
        <v>20106</v>
      </c>
      <c r="E50" s="7">
        <v>11777</v>
      </c>
      <c r="F50" s="7">
        <v>7606</v>
      </c>
      <c r="G50" s="7">
        <v>0</v>
      </c>
      <c r="H50" s="7">
        <f t="shared" si="22"/>
        <v>39489</v>
      </c>
      <c r="I50" s="7">
        <v>0</v>
      </c>
      <c r="J50" s="7">
        <f t="shared" si="26"/>
        <v>39489</v>
      </c>
      <c r="L50" s="75" t="s">
        <v>22</v>
      </c>
      <c r="M50" s="76"/>
      <c r="N50" s="49">
        <f>D50-D33</f>
        <v>6735</v>
      </c>
      <c r="O50" s="49">
        <f>E50-E33</f>
        <v>4109</v>
      </c>
      <c r="P50" s="49">
        <f>F50-F33</f>
        <v>2875</v>
      </c>
      <c r="Q50" s="49">
        <f>G50-G33</f>
        <v>0</v>
      </c>
      <c r="R50" s="49">
        <f t="shared" si="27"/>
        <v>13719</v>
      </c>
      <c r="S50" s="52">
        <f t="shared" si="24"/>
        <v>0</v>
      </c>
      <c r="T50" s="49">
        <f t="shared" si="25"/>
        <v>13719</v>
      </c>
    </row>
    <row r="51" spans="2:20" ht="11.1" customHeight="1" x14ac:dyDescent="0.2">
      <c r="B51" s="239" t="s">
        <v>23</v>
      </c>
      <c r="C51" s="240"/>
      <c r="D51" s="7">
        <f>D49+D50</f>
        <v>44123</v>
      </c>
      <c r="E51" s="7">
        <f t="shared" ref="E51:G51" si="32">E49+E50</f>
        <v>34983</v>
      </c>
      <c r="F51" s="7">
        <f t="shared" si="32"/>
        <v>23683</v>
      </c>
      <c r="G51" s="7">
        <f t="shared" si="32"/>
        <v>-3126</v>
      </c>
      <c r="H51" s="7">
        <f t="shared" si="22"/>
        <v>99663</v>
      </c>
      <c r="I51" s="7">
        <f>I49+I50</f>
        <v>0</v>
      </c>
      <c r="J51" s="7">
        <f t="shared" si="26"/>
        <v>99663</v>
      </c>
      <c r="L51" s="239" t="s">
        <v>23</v>
      </c>
      <c r="M51" s="240"/>
      <c r="N51" s="49">
        <f>N49+N50</f>
        <v>18264</v>
      </c>
      <c r="O51" s="49">
        <f t="shared" ref="O51:Q51" si="33">O49+O50</f>
        <v>6855</v>
      </c>
      <c r="P51" s="49">
        <f t="shared" si="33"/>
        <v>9323</v>
      </c>
      <c r="Q51" s="49">
        <f t="shared" si="33"/>
        <v>-959</v>
      </c>
      <c r="R51" s="49">
        <f t="shared" si="27"/>
        <v>33483</v>
      </c>
      <c r="S51" s="52">
        <f t="shared" si="24"/>
        <v>0</v>
      </c>
      <c r="T51" s="49">
        <f t="shared" si="25"/>
        <v>33483</v>
      </c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86"/>
      <c r="L53" s="48"/>
      <c r="M53" s="72"/>
      <c r="N53" s="48"/>
      <c r="O53" s="48"/>
      <c r="P53" s="48"/>
      <c r="Q53" s="48"/>
      <c r="R53" s="48"/>
      <c r="S53" s="48"/>
      <c r="T53" s="86"/>
    </row>
    <row r="54" spans="2:20" ht="11.1" hidden="1" customHeight="1" outlineLevel="1" x14ac:dyDescent="0.2">
      <c r="B54" s="174" t="s">
        <v>59</v>
      </c>
      <c r="C54" s="252"/>
      <c r="D54" s="244" t="s">
        <v>194</v>
      </c>
      <c r="E54" s="244" t="s">
        <v>195</v>
      </c>
      <c r="F54" s="244" t="s">
        <v>196</v>
      </c>
      <c r="G54" s="244" t="s">
        <v>197</v>
      </c>
      <c r="H54" s="244" t="s">
        <v>198</v>
      </c>
      <c r="I54" s="244" t="s">
        <v>199</v>
      </c>
      <c r="J54" s="244" t="s">
        <v>200</v>
      </c>
      <c r="L54" s="174" t="s">
        <v>59</v>
      </c>
      <c r="M54" s="252"/>
      <c r="N54" s="244" t="s">
        <v>194</v>
      </c>
      <c r="O54" s="244" t="s">
        <v>195</v>
      </c>
      <c r="P54" s="244" t="s">
        <v>196</v>
      </c>
      <c r="Q54" s="244" t="s">
        <v>197</v>
      </c>
      <c r="R54" s="244" t="s">
        <v>198</v>
      </c>
      <c r="S54" s="244" t="s">
        <v>199</v>
      </c>
      <c r="T54" s="244" t="s">
        <v>200</v>
      </c>
    </row>
    <row r="55" spans="2:20" ht="11.1" hidden="1" customHeight="1" outlineLevel="1" x14ac:dyDescent="0.2">
      <c r="B55" s="253"/>
      <c r="C55" s="254"/>
      <c r="D55" s="245"/>
      <c r="E55" s="245"/>
      <c r="F55" s="245"/>
      <c r="G55" s="245"/>
      <c r="H55" s="245"/>
      <c r="I55" s="245"/>
      <c r="J55" s="245"/>
      <c r="L55" s="253"/>
      <c r="M55" s="254"/>
      <c r="N55" s="245"/>
      <c r="O55" s="245"/>
      <c r="P55" s="245"/>
      <c r="Q55" s="245"/>
      <c r="R55" s="245"/>
      <c r="S55" s="245"/>
      <c r="T55" s="245"/>
    </row>
    <row r="56" spans="2:20" ht="11.1" hidden="1" customHeight="1" outlineLevel="1" x14ac:dyDescent="0.2">
      <c r="B56" s="250" t="s">
        <v>226</v>
      </c>
      <c r="C56" s="251"/>
      <c r="D56" s="251"/>
      <c r="E56" s="251"/>
      <c r="F56" s="251"/>
      <c r="G56" s="251"/>
      <c r="H56" s="73"/>
      <c r="I56" s="73"/>
      <c r="J56" s="80"/>
      <c r="L56" s="250" t="s">
        <v>227</v>
      </c>
      <c r="M56" s="251"/>
      <c r="N56" s="251"/>
      <c r="O56" s="251"/>
      <c r="P56" s="251"/>
      <c r="Q56" s="251"/>
      <c r="R56" s="73"/>
      <c r="S56" s="73"/>
      <c r="T56" s="80"/>
    </row>
    <row r="57" spans="2:20" ht="11.1" hidden="1" customHeight="1" outlineLevel="1" x14ac:dyDescent="0.2">
      <c r="B57" s="178" t="s">
        <v>202</v>
      </c>
      <c r="C57" s="179"/>
      <c r="D57" s="52"/>
      <c r="E57" s="52"/>
      <c r="F57" s="52"/>
      <c r="G57" s="52"/>
      <c r="H57" s="52"/>
      <c r="I57" s="52"/>
      <c r="J57" s="52"/>
      <c r="L57" s="178" t="s">
        <v>202</v>
      </c>
      <c r="M57" s="179"/>
      <c r="N57" s="52">
        <f t="shared" ref="N57:Q58" si="34">D57-D40</f>
        <v>-335926</v>
      </c>
      <c r="O57" s="52">
        <f t="shared" si="34"/>
        <v>-198390</v>
      </c>
      <c r="P57" s="52">
        <f t="shared" si="34"/>
        <v>-171754</v>
      </c>
      <c r="Q57" s="52">
        <f t="shared" si="34"/>
        <v>0</v>
      </c>
      <c r="R57" s="52">
        <f>SUM(N57:Q57)</f>
        <v>-706070</v>
      </c>
      <c r="S57" s="52">
        <f>I57-H40</f>
        <v>-706070</v>
      </c>
      <c r="T57" s="52">
        <f t="shared" ref="T57:T68" si="35">R57+S57</f>
        <v>-1412140</v>
      </c>
    </row>
    <row r="58" spans="2:20" ht="11.1" hidden="1" customHeight="1" outlineLevel="1" x14ac:dyDescent="0.2">
      <c r="B58" s="178" t="s">
        <v>33</v>
      </c>
      <c r="C58" s="179"/>
      <c r="D58" s="52"/>
      <c r="E58" s="52"/>
      <c r="F58" s="52"/>
      <c r="G58" s="52"/>
      <c r="H58" s="52"/>
      <c r="I58" s="52"/>
      <c r="J58" s="52"/>
      <c r="L58" s="178" t="s">
        <v>33</v>
      </c>
      <c r="M58" s="179"/>
      <c r="N58" s="52">
        <f t="shared" si="34"/>
        <v>-257293</v>
      </c>
      <c r="O58" s="52">
        <f t="shared" si="34"/>
        <v>-149767</v>
      </c>
      <c r="P58" s="52">
        <f t="shared" si="34"/>
        <v>-115185</v>
      </c>
      <c r="Q58" s="52">
        <f t="shared" si="34"/>
        <v>0</v>
      </c>
      <c r="R58" s="52">
        <f t="shared" ref="R58:R68" si="36">SUM(N58:Q58)</f>
        <v>-522245</v>
      </c>
      <c r="S58" s="52">
        <f>I58-H41</f>
        <v>-522245</v>
      </c>
      <c r="T58" s="52">
        <f t="shared" si="35"/>
        <v>-1044490</v>
      </c>
    </row>
    <row r="59" spans="2:20" ht="11.1" hidden="1" customHeight="1" outlineLevel="1" x14ac:dyDescent="0.2">
      <c r="B59" s="239" t="s">
        <v>203</v>
      </c>
      <c r="C59" s="240"/>
      <c r="D59" s="49"/>
      <c r="E59" s="49"/>
      <c r="F59" s="49"/>
      <c r="G59" s="49"/>
      <c r="H59" s="49"/>
      <c r="I59" s="49"/>
      <c r="J59" s="49"/>
      <c r="L59" s="239" t="s">
        <v>203</v>
      </c>
      <c r="M59" s="240"/>
      <c r="N59" s="49">
        <f>N57-N58</f>
        <v>-78633</v>
      </c>
      <c r="O59" s="49">
        <f>O57-O58</f>
        <v>-48623</v>
      </c>
      <c r="P59" s="49">
        <f>P57-P58</f>
        <v>-56569</v>
      </c>
      <c r="Q59" s="49">
        <f>Q57-Q58</f>
        <v>0</v>
      </c>
      <c r="R59" s="49">
        <f t="shared" si="36"/>
        <v>-183825</v>
      </c>
      <c r="S59" s="49">
        <f>S57-S58</f>
        <v>-183825</v>
      </c>
      <c r="T59" s="49">
        <f t="shared" si="35"/>
        <v>-367650</v>
      </c>
    </row>
    <row r="60" spans="2:20" ht="11.1" hidden="1" customHeight="1" outlineLevel="1" x14ac:dyDescent="0.2">
      <c r="B60" s="171" t="s">
        <v>4</v>
      </c>
      <c r="C60" s="172"/>
      <c r="D60" s="52"/>
      <c r="E60" s="52"/>
      <c r="F60" s="52"/>
      <c r="G60" s="52"/>
      <c r="H60" s="52"/>
      <c r="I60" s="52"/>
      <c r="J60" s="52"/>
      <c r="L60" s="171" t="s">
        <v>4</v>
      </c>
      <c r="M60" s="172"/>
      <c r="N60" s="52">
        <f t="shared" ref="N60:Q61" si="37">D60-D43</f>
        <v>-10333</v>
      </c>
      <c r="O60" s="52">
        <f t="shared" si="37"/>
        <v>-4386</v>
      </c>
      <c r="P60" s="52">
        <f t="shared" si="37"/>
        <v>-9211</v>
      </c>
      <c r="Q60" s="52">
        <f t="shared" si="37"/>
        <v>-367</v>
      </c>
      <c r="R60" s="52">
        <f t="shared" si="36"/>
        <v>-24297</v>
      </c>
      <c r="S60" s="52">
        <f>I60-H43</f>
        <v>-24297</v>
      </c>
      <c r="T60" s="52">
        <f t="shared" si="35"/>
        <v>-48594</v>
      </c>
    </row>
    <row r="61" spans="2:20" ht="11.1" hidden="1" customHeight="1" outlineLevel="1" x14ac:dyDescent="0.2">
      <c r="B61" s="171" t="s">
        <v>5</v>
      </c>
      <c r="C61" s="172"/>
      <c r="D61" s="52"/>
      <c r="E61" s="52"/>
      <c r="F61" s="52"/>
      <c r="G61" s="52"/>
      <c r="H61" s="52"/>
      <c r="I61" s="52"/>
      <c r="J61" s="52"/>
      <c r="L61" s="171" t="s">
        <v>5</v>
      </c>
      <c r="M61" s="172"/>
      <c r="N61" s="52">
        <f t="shared" si="37"/>
        <v>-40473</v>
      </c>
      <c r="O61" s="52">
        <f t="shared" si="37"/>
        <v>-20283</v>
      </c>
      <c r="P61" s="52">
        <f t="shared" si="37"/>
        <v>-30335</v>
      </c>
      <c r="Q61" s="52">
        <f t="shared" si="37"/>
        <v>-2759</v>
      </c>
      <c r="R61" s="52">
        <f t="shared" si="36"/>
        <v>-93850</v>
      </c>
      <c r="S61" s="52">
        <f>I61-H44</f>
        <v>-93850</v>
      </c>
      <c r="T61" s="52">
        <f t="shared" si="35"/>
        <v>-187700</v>
      </c>
    </row>
    <row r="62" spans="2:20" ht="11.1" hidden="1" customHeight="1" outlineLevel="1" x14ac:dyDescent="0.2">
      <c r="B62" s="239" t="s">
        <v>204</v>
      </c>
      <c r="C62" s="240"/>
      <c r="D62" s="49"/>
      <c r="E62" s="49"/>
      <c r="F62" s="49"/>
      <c r="G62" s="49"/>
      <c r="H62" s="49"/>
      <c r="I62" s="49"/>
      <c r="J62" s="49"/>
      <c r="L62" s="239" t="s">
        <v>204</v>
      </c>
      <c r="M62" s="240"/>
      <c r="N62" s="49">
        <f>N59-N60-N61</f>
        <v>-27827</v>
      </c>
      <c r="O62" s="49">
        <f>O59-O60-O61</f>
        <v>-23954</v>
      </c>
      <c r="P62" s="49">
        <f>P59-P60-P61</f>
        <v>-17023</v>
      </c>
      <c r="Q62" s="49">
        <f>Q59-Q60-Q61</f>
        <v>3126</v>
      </c>
      <c r="R62" s="49">
        <f t="shared" si="36"/>
        <v>-65678</v>
      </c>
      <c r="S62" s="49">
        <f>S59-S60-S61</f>
        <v>-65678</v>
      </c>
      <c r="T62" s="49">
        <f t="shared" si="35"/>
        <v>-131356</v>
      </c>
    </row>
    <row r="63" spans="2:20" ht="11.1" hidden="1" customHeight="1" outlineLevel="1" x14ac:dyDescent="0.2">
      <c r="B63" s="171" t="s">
        <v>205</v>
      </c>
      <c r="C63" s="172"/>
      <c r="D63" s="52"/>
      <c r="E63" s="52"/>
      <c r="F63" s="52"/>
      <c r="G63" s="52"/>
      <c r="H63" s="52"/>
      <c r="I63" s="52"/>
      <c r="J63" s="52"/>
      <c r="L63" s="171" t="s">
        <v>205</v>
      </c>
      <c r="M63" s="172"/>
      <c r="N63" s="52">
        <f t="shared" ref="N63:Q65" si="38">D63-D46</f>
        <v>3810</v>
      </c>
      <c r="O63" s="52">
        <f t="shared" si="38"/>
        <v>748</v>
      </c>
      <c r="P63" s="52">
        <f t="shared" si="38"/>
        <v>1805</v>
      </c>
      <c r="Q63" s="52">
        <f t="shared" si="38"/>
        <v>0</v>
      </c>
      <c r="R63" s="52">
        <f t="shared" si="36"/>
        <v>6363</v>
      </c>
      <c r="S63" s="52">
        <f>I63-H46</f>
        <v>6363</v>
      </c>
      <c r="T63" s="52">
        <f t="shared" si="35"/>
        <v>12726</v>
      </c>
    </row>
    <row r="64" spans="2:20" ht="11.1" hidden="1" customHeight="1" outlineLevel="1" x14ac:dyDescent="0.2">
      <c r="B64" s="180" t="s">
        <v>206</v>
      </c>
      <c r="C64" s="181"/>
      <c r="D64" s="52"/>
      <c r="E64" s="52"/>
      <c r="F64" s="52"/>
      <c r="G64" s="52"/>
      <c r="H64" s="52"/>
      <c r="I64" s="52"/>
      <c r="J64" s="52"/>
      <c r="L64" s="180" t="s">
        <v>206</v>
      </c>
      <c r="M64" s="181"/>
      <c r="N64" s="52">
        <f t="shared" si="38"/>
        <v>0</v>
      </c>
      <c r="O64" s="52">
        <f t="shared" si="38"/>
        <v>0</v>
      </c>
      <c r="P64" s="52">
        <f t="shared" si="38"/>
        <v>-859</v>
      </c>
      <c r="Q64" s="52">
        <f t="shared" si="38"/>
        <v>0</v>
      </c>
      <c r="R64" s="52">
        <f t="shared" si="36"/>
        <v>-859</v>
      </c>
      <c r="S64" s="52">
        <f>I64-H47</f>
        <v>-859</v>
      </c>
      <c r="T64" s="52">
        <f t="shared" si="35"/>
        <v>-1718</v>
      </c>
    </row>
    <row r="65" spans="2:20" ht="11.1" hidden="1" customHeight="1" outlineLevel="1" x14ac:dyDescent="0.2">
      <c r="B65" s="180" t="s">
        <v>27</v>
      </c>
      <c r="C65" s="181"/>
      <c r="D65" s="52"/>
      <c r="E65" s="52"/>
      <c r="F65" s="52"/>
      <c r="G65" s="52"/>
      <c r="H65" s="52"/>
      <c r="I65" s="52"/>
      <c r="J65" s="52"/>
      <c r="L65" s="180" t="s">
        <v>27</v>
      </c>
      <c r="M65" s="181"/>
      <c r="N65" s="52">
        <f t="shared" si="38"/>
        <v>0</v>
      </c>
      <c r="O65" s="52">
        <f t="shared" si="38"/>
        <v>0</v>
      </c>
      <c r="P65" s="52">
        <f t="shared" si="38"/>
        <v>0</v>
      </c>
      <c r="Q65" s="52">
        <f t="shared" si="38"/>
        <v>0</v>
      </c>
      <c r="R65" s="52">
        <f t="shared" si="36"/>
        <v>0</v>
      </c>
      <c r="S65" s="52">
        <f>I65-H48</f>
        <v>0</v>
      </c>
      <c r="T65" s="52">
        <f t="shared" si="35"/>
        <v>0</v>
      </c>
    </row>
    <row r="66" spans="2:20" ht="11.1" hidden="1" customHeight="1" outlineLevel="1" x14ac:dyDescent="0.2">
      <c r="B66" s="239" t="s">
        <v>207</v>
      </c>
      <c r="C66" s="240"/>
      <c r="D66" s="49"/>
      <c r="E66" s="49"/>
      <c r="F66" s="49"/>
      <c r="G66" s="49"/>
      <c r="H66" s="49"/>
      <c r="I66" s="49"/>
      <c r="J66" s="49"/>
      <c r="L66" s="239" t="s">
        <v>207</v>
      </c>
      <c r="M66" s="240"/>
      <c r="N66" s="49">
        <f t="shared" ref="N66:Q66" si="39">N62+N63+N64+N65</f>
        <v>-24017</v>
      </c>
      <c r="O66" s="49">
        <f t="shared" si="39"/>
        <v>-23206</v>
      </c>
      <c r="P66" s="49">
        <f t="shared" si="39"/>
        <v>-16077</v>
      </c>
      <c r="Q66" s="49">
        <f t="shared" si="39"/>
        <v>3126</v>
      </c>
      <c r="R66" s="49">
        <f t="shared" si="36"/>
        <v>-60174</v>
      </c>
      <c r="S66" s="49">
        <f>S62+S63+S65</f>
        <v>-59315</v>
      </c>
      <c r="T66" s="49">
        <f t="shared" si="35"/>
        <v>-119489</v>
      </c>
    </row>
    <row r="67" spans="2:20" ht="11.1" hidden="1" customHeight="1" outlineLevel="1" x14ac:dyDescent="0.2">
      <c r="B67" s="75" t="s">
        <v>22</v>
      </c>
      <c r="C67" s="76"/>
      <c r="D67" s="49"/>
      <c r="E67" s="49"/>
      <c r="F67" s="49"/>
      <c r="G67" s="49"/>
      <c r="H67" s="49"/>
      <c r="I67" s="49"/>
      <c r="J67" s="49"/>
      <c r="L67" s="75" t="s">
        <v>22</v>
      </c>
      <c r="M67" s="76"/>
      <c r="N67" s="49">
        <f>D67-D50</f>
        <v>-20106</v>
      </c>
      <c r="O67" s="49">
        <f>E67-E50</f>
        <v>-11777</v>
      </c>
      <c r="P67" s="49">
        <f>F67-F50</f>
        <v>-7606</v>
      </c>
      <c r="Q67" s="49">
        <f>G67-G50</f>
        <v>0</v>
      </c>
      <c r="R67" s="49">
        <f t="shared" si="36"/>
        <v>-39489</v>
      </c>
      <c r="S67" s="49">
        <f>I67-H50</f>
        <v>-39489</v>
      </c>
      <c r="T67" s="49">
        <f t="shared" si="35"/>
        <v>-78978</v>
      </c>
    </row>
    <row r="68" spans="2:20" ht="11.1" hidden="1" customHeight="1" outlineLevel="1" x14ac:dyDescent="0.2">
      <c r="B68" s="239" t="s">
        <v>23</v>
      </c>
      <c r="C68" s="240"/>
      <c r="D68" s="49"/>
      <c r="E68" s="49"/>
      <c r="F68" s="49"/>
      <c r="G68" s="49"/>
      <c r="H68" s="49"/>
      <c r="I68" s="49"/>
      <c r="J68" s="49"/>
      <c r="L68" s="239" t="s">
        <v>23</v>
      </c>
      <c r="M68" s="240"/>
      <c r="N68" s="49">
        <f>N66+N67</f>
        <v>-44123</v>
      </c>
      <c r="O68" s="49">
        <f t="shared" ref="O68:Q68" si="40">O66+O67</f>
        <v>-34983</v>
      </c>
      <c r="P68" s="49">
        <f t="shared" si="40"/>
        <v>-23683</v>
      </c>
      <c r="Q68" s="49">
        <f t="shared" si="40"/>
        <v>3126</v>
      </c>
      <c r="R68" s="49">
        <f t="shared" si="36"/>
        <v>-99663</v>
      </c>
      <c r="S68" s="49">
        <f>S66+S67</f>
        <v>-98804</v>
      </c>
      <c r="T68" s="49">
        <f t="shared" si="35"/>
        <v>-198467</v>
      </c>
    </row>
    <row r="69" spans="2:20" ht="11.1" hidden="1" customHeight="1" outlineLevel="1" x14ac:dyDescent="0.2"/>
    <row r="70" spans="2:20" ht="11.1" customHeight="1" collapsed="1" x14ac:dyDescent="0.2"/>
  </sheetData>
  <mergeCells count="160">
    <mergeCell ref="S54:S55"/>
    <mergeCell ref="T54:T55"/>
    <mergeCell ref="L56:Q56"/>
    <mergeCell ref="L59:M59"/>
    <mergeCell ref="L54:M55"/>
    <mergeCell ref="N54:N55"/>
    <mergeCell ref="O54:O55"/>
    <mergeCell ref="P54:P55"/>
    <mergeCell ref="Q54:Q55"/>
    <mergeCell ref="R54:R55"/>
    <mergeCell ref="R37:R38"/>
    <mergeCell ref="S37:S38"/>
    <mergeCell ref="T37:T38"/>
    <mergeCell ref="L37:M38"/>
    <mergeCell ref="N37:N38"/>
    <mergeCell ref="L24:M24"/>
    <mergeCell ref="L25:M25"/>
    <mergeCell ref="L26:M26"/>
    <mergeCell ref="R20:R21"/>
    <mergeCell ref="S20:S21"/>
    <mergeCell ref="T20:T21"/>
    <mergeCell ref="L22:Q22"/>
    <mergeCell ref="L23:M23"/>
    <mergeCell ref="L20:M21"/>
    <mergeCell ref="N20:N21"/>
    <mergeCell ref="O20:O21"/>
    <mergeCell ref="P20:P21"/>
    <mergeCell ref="Q20:Q21"/>
    <mergeCell ref="O37:O38"/>
    <mergeCell ref="P37:P38"/>
    <mergeCell ref="Q37:Q38"/>
    <mergeCell ref="Q3:Q4"/>
    <mergeCell ref="R3:R4"/>
    <mergeCell ref="S3:S4"/>
    <mergeCell ref="T3:T4"/>
    <mergeCell ref="L5:Q5"/>
    <mergeCell ref="L3:M4"/>
    <mergeCell ref="N3:N4"/>
    <mergeCell ref="O3:O4"/>
    <mergeCell ref="P3:P4"/>
    <mergeCell ref="B66:C66"/>
    <mergeCell ref="B68:C68"/>
    <mergeCell ref="L68:M68"/>
    <mergeCell ref="B63:C63"/>
    <mergeCell ref="B64:C64"/>
    <mergeCell ref="B65:C65"/>
    <mergeCell ref="B60:C60"/>
    <mergeCell ref="L60:M60"/>
    <mergeCell ref="B61:C61"/>
    <mergeCell ref="B62:C62"/>
    <mergeCell ref="L64:M64"/>
    <mergeCell ref="L65:M65"/>
    <mergeCell ref="L66:M66"/>
    <mergeCell ref="L61:M61"/>
    <mergeCell ref="L62:M62"/>
    <mergeCell ref="L63:M63"/>
    <mergeCell ref="B57:C57"/>
    <mergeCell ref="L57:M57"/>
    <mergeCell ref="B58:C58"/>
    <mergeCell ref="L58:M58"/>
    <mergeCell ref="B59:C59"/>
    <mergeCell ref="B56:G56"/>
    <mergeCell ref="I54:I55"/>
    <mergeCell ref="J54:J55"/>
    <mergeCell ref="B54:C55"/>
    <mergeCell ref="D54:D55"/>
    <mergeCell ref="E54:E55"/>
    <mergeCell ref="F54:F55"/>
    <mergeCell ref="G54:G55"/>
    <mergeCell ref="H54:H55"/>
    <mergeCell ref="B49:C49"/>
    <mergeCell ref="L49:M49"/>
    <mergeCell ref="B51:C51"/>
    <mergeCell ref="L51:M51"/>
    <mergeCell ref="B46:C46"/>
    <mergeCell ref="B47:C47"/>
    <mergeCell ref="L47:M47"/>
    <mergeCell ref="B48:C48"/>
    <mergeCell ref="L48:M48"/>
    <mergeCell ref="L46:M46"/>
    <mergeCell ref="B44:C44"/>
    <mergeCell ref="B45:C45"/>
    <mergeCell ref="B40:C40"/>
    <mergeCell ref="B41:C41"/>
    <mergeCell ref="L41:M41"/>
    <mergeCell ref="B42:C42"/>
    <mergeCell ref="B39:G39"/>
    <mergeCell ref="I37:I38"/>
    <mergeCell ref="J37:J38"/>
    <mergeCell ref="B37:C38"/>
    <mergeCell ref="D37:D38"/>
    <mergeCell ref="E37:E38"/>
    <mergeCell ref="F37:F38"/>
    <mergeCell ref="G37:G38"/>
    <mergeCell ref="H37:H38"/>
    <mergeCell ref="L44:M44"/>
    <mergeCell ref="L45:M45"/>
    <mergeCell ref="L39:Q39"/>
    <mergeCell ref="L40:M40"/>
    <mergeCell ref="L42:M42"/>
    <mergeCell ref="L43:M43"/>
    <mergeCell ref="B34:C34"/>
    <mergeCell ref="L34:M34"/>
    <mergeCell ref="B29:C29"/>
    <mergeCell ref="L29:M29"/>
    <mergeCell ref="B30:C30"/>
    <mergeCell ref="L30:M30"/>
    <mergeCell ref="B31:C31"/>
    <mergeCell ref="L31:M31"/>
    <mergeCell ref="B43:C43"/>
    <mergeCell ref="B27:C27"/>
    <mergeCell ref="L27:M27"/>
    <mergeCell ref="B28:C28"/>
    <mergeCell ref="L28:M28"/>
    <mergeCell ref="B23:C23"/>
    <mergeCell ref="B24:C24"/>
    <mergeCell ref="B25:C25"/>
    <mergeCell ref="B22:G22"/>
    <mergeCell ref="B32:C32"/>
    <mergeCell ref="L32:M32"/>
    <mergeCell ref="I20:I21"/>
    <mergeCell ref="J20:J21"/>
    <mergeCell ref="B20:C21"/>
    <mergeCell ref="D20:D21"/>
    <mergeCell ref="E20:E21"/>
    <mergeCell ref="F20:F21"/>
    <mergeCell ref="G20:G21"/>
    <mergeCell ref="H20:H21"/>
    <mergeCell ref="B26:C26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B7:C7"/>
    <mergeCell ref="B8:C8"/>
    <mergeCell ref="L6:M6"/>
    <mergeCell ref="L7:M7"/>
    <mergeCell ref="L8:M8"/>
    <mergeCell ref="B5:G5"/>
    <mergeCell ref="I3:I4"/>
    <mergeCell ref="J3:J4"/>
    <mergeCell ref="B3:C4"/>
    <mergeCell ref="D3:D4"/>
    <mergeCell ref="E3:E4"/>
    <mergeCell ref="F3:F4"/>
    <mergeCell ref="G3:G4"/>
    <mergeCell ref="H3:H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B81B-5161-41FD-886B-896BDFC1488F}">
  <sheetPr>
    <tabColor theme="0" tint="-0.34998626667073579"/>
  </sheetPr>
  <dimension ref="B1:AY34"/>
  <sheetViews>
    <sheetView showGridLines="0" zoomScaleNormal="100" zoomScaleSheetLayoutView="100" workbookViewId="0">
      <pane xSplit="3" ySplit="1" topLeftCell="AE5" activePane="bottomRight" state="frozen"/>
      <selection activeCell="Q2" sqref="Q2"/>
      <selection pane="topRight" activeCell="Q2" sqref="Q2"/>
      <selection pane="bottomLeft" activeCell="Q2" sqref="Q2"/>
      <selection pane="bottomRight" activeCell="AJ9" sqref="AJ9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5.140625" style="54" customWidth="1"/>
    <col min="4" max="46" width="9.28515625" style="46" customWidth="1"/>
    <col min="47" max="16384" width="9.140625" style="46"/>
  </cols>
  <sheetData>
    <row r="1" spans="2:49" s="1" customFormat="1" ht="12" hidden="1" customHeight="1" x14ac:dyDescent="0.2">
      <c r="C1" s="2"/>
    </row>
    <row r="2" spans="2:49" s="1" customFormat="1" ht="12" hidden="1" customHeight="1" x14ac:dyDescent="0.2">
      <c r="C2" s="2"/>
    </row>
    <row r="3" spans="2:49" s="1" customFormat="1" ht="12" hidden="1" customHeight="1" x14ac:dyDescent="0.2">
      <c r="C3" s="2"/>
    </row>
    <row r="4" spans="2:49" s="1" customFormat="1" ht="12" hidden="1" customHeight="1" x14ac:dyDescent="0.2">
      <c r="C4" s="2"/>
    </row>
    <row r="5" spans="2:49" s="1" customFormat="1" ht="12" customHeight="1" x14ac:dyDescent="0.2">
      <c r="C5" s="2"/>
    </row>
    <row r="6" spans="2:49" ht="12" customHeight="1" x14ac:dyDescent="0.2">
      <c r="B6" s="92" t="s">
        <v>256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49" ht="12" customHeight="1" x14ac:dyDescent="0.2">
      <c r="B7" s="174" t="s">
        <v>59</v>
      </c>
      <c r="C7" s="175"/>
      <c r="D7" s="168" t="s">
        <v>121</v>
      </c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70"/>
      <c r="AA7" s="170"/>
      <c r="AB7" s="170"/>
      <c r="AC7" s="170"/>
      <c r="AD7" s="170"/>
      <c r="AE7" s="170"/>
      <c r="AF7" s="162"/>
      <c r="AG7" s="162"/>
      <c r="AH7" s="162"/>
      <c r="AI7" s="162"/>
      <c r="AJ7" s="162"/>
      <c r="AL7" s="182" t="s">
        <v>121</v>
      </c>
      <c r="AM7" s="183"/>
      <c r="AN7" s="183"/>
      <c r="AO7" s="183"/>
      <c r="AP7" s="184"/>
      <c r="AQ7" s="184"/>
      <c r="AR7" s="184"/>
      <c r="AS7" s="184"/>
      <c r="AT7" s="185"/>
    </row>
    <row r="8" spans="2:49" ht="12" customHeight="1" x14ac:dyDescent="0.2">
      <c r="B8" s="176"/>
      <c r="C8" s="177"/>
      <c r="D8" s="4" t="s">
        <v>233</v>
      </c>
      <c r="E8" s="4" t="s">
        <v>234</v>
      </c>
      <c r="F8" s="4" t="s">
        <v>235</v>
      </c>
      <c r="G8" s="4" t="s">
        <v>236</v>
      </c>
      <c r="H8" s="4" t="s">
        <v>237</v>
      </c>
      <c r="I8" s="4" t="s">
        <v>238</v>
      </c>
      <c r="J8" s="4" t="s">
        <v>239</v>
      </c>
      <c r="K8" s="4" t="s">
        <v>240</v>
      </c>
      <c r="L8" s="4" t="s">
        <v>241</v>
      </c>
      <c r="M8" s="4" t="s">
        <v>242</v>
      </c>
      <c r="N8" s="4" t="s">
        <v>243</v>
      </c>
      <c r="O8" s="4" t="s">
        <v>244</v>
      </c>
      <c r="P8" s="4" t="s">
        <v>295</v>
      </c>
      <c r="Q8" s="4" t="s">
        <v>297</v>
      </c>
      <c r="R8" s="4" t="s">
        <v>301</v>
      </c>
      <c r="S8" s="4" t="s">
        <v>306</v>
      </c>
      <c r="T8" s="4" t="s">
        <v>309</v>
      </c>
      <c r="U8" s="4" t="s">
        <v>312</v>
      </c>
      <c r="V8" s="4" t="s">
        <v>315</v>
      </c>
      <c r="W8" s="4" t="s">
        <v>318</v>
      </c>
      <c r="X8" s="4" t="s">
        <v>323</v>
      </c>
      <c r="Y8" s="4" t="s">
        <v>325</v>
      </c>
      <c r="Z8" s="4" t="s">
        <v>328</v>
      </c>
      <c r="AA8" s="4" t="s">
        <v>331</v>
      </c>
      <c r="AB8" s="4" t="s">
        <v>334</v>
      </c>
      <c r="AC8" s="4" t="s">
        <v>336</v>
      </c>
      <c r="AD8" s="4" t="s">
        <v>341</v>
      </c>
      <c r="AE8" s="4" t="s">
        <v>345</v>
      </c>
      <c r="AF8" s="4" t="s">
        <v>355</v>
      </c>
      <c r="AG8" s="4" t="s">
        <v>357</v>
      </c>
      <c r="AH8" s="4" t="s">
        <v>361</v>
      </c>
      <c r="AI8" s="4" t="s">
        <v>364</v>
      </c>
      <c r="AJ8" s="4" t="s">
        <v>367</v>
      </c>
      <c r="AL8" s="88">
        <v>2018</v>
      </c>
      <c r="AM8" s="88">
        <v>2019</v>
      </c>
      <c r="AN8" s="88">
        <v>2020</v>
      </c>
      <c r="AO8" s="88">
        <v>2021</v>
      </c>
      <c r="AP8" s="88">
        <v>2022</v>
      </c>
      <c r="AQ8" s="88">
        <v>2023</v>
      </c>
      <c r="AR8" s="88">
        <v>2024</v>
      </c>
      <c r="AS8" s="88">
        <v>2025</v>
      </c>
      <c r="AT8" s="88">
        <v>2026</v>
      </c>
    </row>
    <row r="9" spans="2:49" ht="12" customHeight="1" x14ac:dyDescent="0.2">
      <c r="B9" s="178" t="s">
        <v>202</v>
      </c>
      <c r="C9" s="179"/>
      <c r="D9" s="52">
        <f>'Segmenty 2018'!N6</f>
        <v>76540</v>
      </c>
      <c r="E9" s="52">
        <f>'Segmenty 2018'!N23</f>
        <v>98059</v>
      </c>
      <c r="F9" s="52">
        <f>'Segmenty 2018'!N40</f>
        <v>96016</v>
      </c>
      <c r="G9" s="52">
        <f>'Segmenty 2018'!N57</f>
        <v>115307</v>
      </c>
      <c r="H9" s="52">
        <f>'Segmenty 2019'!N6</f>
        <v>95083</v>
      </c>
      <c r="I9" s="52">
        <f>'Segmenty 2019'!N23</f>
        <v>90028</v>
      </c>
      <c r="J9" s="52">
        <f>'Segmenty 2019'!N40</f>
        <v>94503</v>
      </c>
      <c r="K9" s="52">
        <f>'Segmenty 2019'!N57</f>
        <v>97657</v>
      </c>
      <c r="L9" s="52">
        <f>'Segmenty 2020'!N6</f>
        <v>83961</v>
      </c>
      <c r="M9" s="52">
        <f>'Segmenty 2020'!N23</f>
        <v>119621</v>
      </c>
      <c r="N9" s="52">
        <f>'Segmenty 2020'!N40</f>
        <v>132344</v>
      </c>
      <c r="O9" s="52">
        <v>108393</v>
      </c>
      <c r="P9" s="52">
        <v>84595</v>
      </c>
      <c r="Q9" s="52">
        <v>100091</v>
      </c>
      <c r="R9" s="52">
        <v>94678</v>
      </c>
      <c r="S9" s="52">
        <v>95679</v>
      </c>
      <c r="T9" s="52">
        <v>80896</v>
      </c>
      <c r="U9" s="52">
        <v>102444</v>
      </c>
      <c r="V9" s="52">
        <v>119886</v>
      </c>
      <c r="W9" s="52">
        <v>136285</v>
      </c>
      <c r="X9" s="52">
        <v>118739</v>
      </c>
      <c r="Y9" s="52">
        <v>114283</v>
      </c>
      <c r="Z9" s="52">
        <v>142493</v>
      </c>
      <c r="AA9" s="52">
        <v>139463</v>
      </c>
      <c r="AB9" s="52">
        <v>134569</v>
      </c>
      <c r="AC9" s="52">
        <v>158327</v>
      </c>
      <c r="AD9" s="52">
        <v>134345</v>
      </c>
      <c r="AE9" s="52">
        <v>152958</v>
      </c>
      <c r="AF9" s="52">
        <v>124601</v>
      </c>
      <c r="AG9" s="52">
        <v>137655</v>
      </c>
      <c r="AH9" s="52">
        <v>148175</v>
      </c>
      <c r="AI9" s="52">
        <v>156625</v>
      </c>
      <c r="AJ9" s="52">
        <v>141374</v>
      </c>
      <c r="AL9" s="52">
        <f>SUM(D9:G9)</f>
        <v>385922</v>
      </c>
      <c r="AM9" s="52">
        <f>SUM(H9:K9)</f>
        <v>377271</v>
      </c>
      <c r="AN9" s="52">
        <f>SUM(L9:O9)</f>
        <v>444319</v>
      </c>
      <c r="AO9" s="52">
        <f>SUM($P9:S9)</f>
        <v>375043</v>
      </c>
      <c r="AP9" s="52">
        <f>SUM($T9:W9)</f>
        <v>439511</v>
      </c>
      <c r="AQ9" s="52">
        <f>SUM($X9:AA9)</f>
        <v>514978</v>
      </c>
      <c r="AR9" s="52">
        <f>SUM($AB9:AE9)</f>
        <v>580199</v>
      </c>
      <c r="AS9" s="52">
        <f>SUM($AF9:AI9)</f>
        <v>567056</v>
      </c>
      <c r="AT9" s="52">
        <f>SUM($AJ9:AJ9)</f>
        <v>141374</v>
      </c>
    </row>
    <row r="10" spans="2:49" ht="12" customHeight="1" x14ac:dyDescent="0.2">
      <c r="B10" s="178" t="s">
        <v>33</v>
      </c>
      <c r="C10" s="179"/>
      <c r="D10" s="52">
        <f>'Segmenty 2018'!N7</f>
        <v>53671</v>
      </c>
      <c r="E10" s="52">
        <f>'Segmenty 2018'!N24</f>
        <v>67767</v>
      </c>
      <c r="F10" s="52">
        <f>'Segmenty 2018'!N41</f>
        <v>68349</v>
      </c>
      <c r="G10" s="52">
        <f>'Segmenty 2018'!N58</f>
        <v>77089</v>
      </c>
      <c r="H10" s="52">
        <f>'Segmenty 2019'!N7</f>
        <v>69117</v>
      </c>
      <c r="I10" s="52">
        <f>'Segmenty 2019'!N24</f>
        <v>64831</v>
      </c>
      <c r="J10" s="52">
        <f>'Segmenty 2019'!N41</f>
        <v>68276</v>
      </c>
      <c r="K10" s="52">
        <f>'Segmenty 2019'!N58</f>
        <v>79754</v>
      </c>
      <c r="L10" s="52">
        <v>61880</v>
      </c>
      <c r="M10" s="52">
        <v>94000</v>
      </c>
      <c r="N10" s="52">
        <v>106361</v>
      </c>
      <c r="O10" s="52">
        <f>82478+1</f>
        <v>82479</v>
      </c>
      <c r="P10" s="52">
        <v>66516</v>
      </c>
      <c r="Q10" s="52">
        <v>85047</v>
      </c>
      <c r="R10" s="52">
        <v>80313</v>
      </c>
      <c r="S10" s="52">
        <v>80748</v>
      </c>
      <c r="T10" s="52">
        <v>73701</v>
      </c>
      <c r="U10" s="52">
        <v>81567</v>
      </c>
      <c r="V10" s="52">
        <v>99463</v>
      </c>
      <c r="W10" s="52">
        <v>115108</v>
      </c>
      <c r="X10" s="52">
        <v>94528</v>
      </c>
      <c r="Y10" s="52">
        <v>89064</v>
      </c>
      <c r="Z10" s="52">
        <f>111392-1</f>
        <v>111391</v>
      </c>
      <c r="AA10" s="52">
        <v>105992</v>
      </c>
      <c r="AB10" s="52">
        <v>101863</v>
      </c>
      <c r="AC10" s="52">
        <v>114595</v>
      </c>
      <c r="AD10" s="52">
        <v>98004</v>
      </c>
      <c r="AE10" s="52">
        <v>113177</v>
      </c>
      <c r="AF10" s="52">
        <v>92362</v>
      </c>
      <c r="AG10" s="52">
        <v>100168</v>
      </c>
      <c r="AH10" s="52">
        <v>108473</v>
      </c>
      <c r="AI10" s="52">
        <v>135687</v>
      </c>
      <c r="AJ10" s="52">
        <v>105995</v>
      </c>
      <c r="AL10" s="52">
        <f>SUM(D10:G10)</f>
        <v>266876</v>
      </c>
      <c r="AM10" s="52">
        <f>SUM(H10:K10)</f>
        <v>281978</v>
      </c>
      <c r="AN10" s="52">
        <f>SUM(L10:O10)</f>
        <v>344720</v>
      </c>
      <c r="AO10" s="52">
        <f>SUM($P10:S10)</f>
        <v>312624</v>
      </c>
      <c r="AP10" s="52">
        <f>SUM($T10:W10)</f>
        <v>369839</v>
      </c>
      <c r="AQ10" s="52">
        <f>SUM($X10:AA10)</f>
        <v>400975</v>
      </c>
      <c r="AR10" s="52">
        <f>SUM($AB10:AE10)</f>
        <v>427639</v>
      </c>
      <c r="AS10" s="52">
        <f>SUM($AF10:AI10)</f>
        <v>436690</v>
      </c>
      <c r="AT10" s="52">
        <f>SUM($AJ10:AJ10)</f>
        <v>105995</v>
      </c>
      <c r="AW10" s="109"/>
    </row>
    <row r="11" spans="2:49" ht="12" customHeight="1" x14ac:dyDescent="0.2">
      <c r="B11" s="173" t="s">
        <v>203</v>
      </c>
      <c r="C11" s="173"/>
      <c r="D11" s="44">
        <f>D9-D10</f>
        <v>22869</v>
      </c>
      <c r="E11" s="44">
        <f t="shared" ref="E11:R11" si="0">E9-E10</f>
        <v>30292</v>
      </c>
      <c r="F11" s="44">
        <f t="shared" si="0"/>
        <v>27667</v>
      </c>
      <c r="G11" s="44">
        <f t="shared" si="0"/>
        <v>38218</v>
      </c>
      <c r="H11" s="44">
        <f t="shared" si="0"/>
        <v>25966</v>
      </c>
      <c r="I11" s="44">
        <f t="shared" si="0"/>
        <v>25197</v>
      </c>
      <c r="J11" s="44">
        <f t="shared" si="0"/>
        <v>26227</v>
      </c>
      <c r="K11" s="44">
        <f t="shared" si="0"/>
        <v>17903</v>
      </c>
      <c r="L11" s="44">
        <f t="shared" si="0"/>
        <v>22081</v>
      </c>
      <c r="M11" s="44">
        <f t="shared" si="0"/>
        <v>25621</v>
      </c>
      <c r="N11" s="44">
        <f t="shared" si="0"/>
        <v>25983</v>
      </c>
      <c r="O11" s="44">
        <f t="shared" si="0"/>
        <v>25914</v>
      </c>
      <c r="P11" s="44">
        <f t="shared" si="0"/>
        <v>18079</v>
      </c>
      <c r="Q11" s="44">
        <f t="shared" si="0"/>
        <v>15044</v>
      </c>
      <c r="R11" s="44">
        <f t="shared" si="0"/>
        <v>14365</v>
      </c>
      <c r="S11" s="44">
        <f t="shared" ref="S11:AI11" si="1">S9-S10</f>
        <v>14931</v>
      </c>
      <c r="T11" s="44">
        <f t="shared" si="1"/>
        <v>7195</v>
      </c>
      <c r="U11" s="44">
        <f t="shared" si="1"/>
        <v>20877</v>
      </c>
      <c r="V11" s="44">
        <f t="shared" si="1"/>
        <v>20423</v>
      </c>
      <c r="W11" s="44">
        <f t="shared" si="1"/>
        <v>21177</v>
      </c>
      <c r="X11" s="44">
        <f t="shared" si="1"/>
        <v>24211</v>
      </c>
      <c r="Y11" s="44">
        <f t="shared" si="1"/>
        <v>25219</v>
      </c>
      <c r="Z11" s="44">
        <f t="shared" si="1"/>
        <v>31102</v>
      </c>
      <c r="AA11" s="44">
        <f t="shared" si="1"/>
        <v>33471</v>
      </c>
      <c r="AB11" s="44">
        <f t="shared" si="1"/>
        <v>32706</v>
      </c>
      <c r="AC11" s="44">
        <f t="shared" si="1"/>
        <v>43732</v>
      </c>
      <c r="AD11" s="44">
        <f t="shared" si="1"/>
        <v>36341</v>
      </c>
      <c r="AE11" s="44">
        <f t="shared" si="1"/>
        <v>39781</v>
      </c>
      <c r="AF11" s="44">
        <f t="shared" si="1"/>
        <v>32239</v>
      </c>
      <c r="AG11" s="44">
        <f t="shared" si="1"/>
        <v>37487</v>
      </c>
      <c r="AH11" s="44">
        <f t="shared" si="1"/>
        <v>39702</v>
      </c>
      <c r="AI11" s="44">
        <f t="shared" si="1"/>
        <v>20938</v>
      </c>
      <c r="AJ11" s="44">
        <f t="shared" ref="AJ11" si="2">AJ9-AJ10</f>
        <v>35379</v>
      </c>
      <c r="AL11" s="44">
        <f t="shared" ref="AL11" si="3">AL9-AL10</f>
        <v>119046</v>
      </c>
      <c r="AM11" s="44">
        <f t="shared" ref="AM11" si="4">AM9-AM10</f>
        <v>95293</v>
      </c>
      <c r="AN11" s="44">
        <f t="shared" ref="AN11:AO11" si="5">AN9-AN10</f>
        <v>99599</v>
      </c>
      <c r="AO11" s="44">
        <f t="shared" si="5"/>
        <v>62419</v>
      </c>
      <c r="AP11" s="44">
        <f t="shared" ref="AP11:AR11" si="6">AP9-AP10</f>
        <v>69672</v>
      </c>
      <c r="AQ11" s="44">
        <f t="shared" si="6"/>
        <v>114003</v>
      </c>
      <c r="AR11" s="44">
        <f t="shared" si="6"/>
        <v>152560</v>
      </c>
      <c r="AS11" s="44">
        <f t="shared" ref="AS11:AT11" si="7">AS9-AS10</f>
        <v>130366</v>
      </c>
      <c r="AT11" s="44">
        <f t="shared" si="7"/>
        <v>35379</v>
      </c>
      <c r="AW11" s="109"/>
    </row>
    <row r="12" spans="2:49" ht="12" customHeight="1" x14ac:dyDescent="0.2">
      <c r="B12" s="171" t="s">
        <v>4</v>
      </c>
      <c r="C12" s="172"/>
      <c r="D12" s="52">
        <f>'Segmenty 2018'!N9</f>
        <v>3971</v>
      </c>
      <c r="E12" s="52">
        <f>'Segmenty 2018'!N26</f>
        <v>4371</v>
      </c>
      <c r="F12" s="52">
        <f>'Segmenty 2018'!N43</f>
        <v>3991</v>
      </c>
      <c r="G12" s="52">
        <f>'Segmenty 2018'!N60</f>
        <v>4975</v>
      </c>
      <c r="H12" s="52">
        <f>'Segmenty 2019'!N9</f>
        <v>3538</v>
      </c>
      <c r="I12" s="52">
        <f>'Segmenty 2019'!N26</f>
        <v>4761</v>
      </c>
      <c r="J12" s="52">
        <f>'Segmenty 2019'!N43</f>
        <v>4073</v>
      </c>
      <c r="K12" s="52">
        <f>'Segmenty 2019'!N60</f>
        <v>4089</v>
      </c>
      <c r="L12" s="52">
        <f>'Segmenty 2020'!N9</f>
        <v>3695</v>
      </c>
      <c r="M12" s="52">
        <f>'Segmenty 2020'!N26</f>
        <v>3439</v>
      </c>
      <c r="N12" s="52">
        <f>'Segmenty 2020'!N43</f>
        <v>3199</v>
      </c>
      <c r="O12" s="52">
        <v>3394</v>
      </c>
      <c r="P12" s="52">
        <v>3221</v>
      </c>
      <c r="Q12" s="52">
        <v>3267</v>
      </c>
      <c r="R12" s="52">
        <v>3617</v>
      </c>
      <c r="S12" s="52">
        <v>3955</v>
      </c>
      <c r="T12" s="52">
        <v>3080</v>
      </c>
      <c r="U12" s="52">
        <v>4238</v>
      </c>
      <c r="V12" s="52">
        <v>3016</v>
      </c>
      <c r="W12" s="52">
        <v>4451</v>
      </c>
      <c r="X12" s="52">
        <v>4967</v>
      </c>
      <c r="Y12" s="52">
        <v>4292</v>
      </c>
      <c r="Z12" s="52">
        <v>4289</v>
      </c>
      <c r="AA12" s="52">
        <v>5403</v>
      </c>
      <c r="AB12" s="52">
        <v>5075</v>
      </c>
      <c r="AC12" s="52">
        <v>6222</v>
      </c>
      <c r="AD12" s="52">
        <v>4549</v>
      </c>
      <c r="AE12" s="52">
        <v>7155</v>
      </c>
      <c r="AF12" s="52">
        <v>5321</v>
      </c>
      <c r="AG12" s="52">
        <v>6014</v>
      </c>
      <c r="AH12" s="52">
        <v>6240</v>
      </c>
      <c r="AI12" s="52">
        <v>7159</v>
      </c>
      <c r="AJ12" s="52">
        <v>6585</v>
      </c>
      <c r="AL12" s="52">
        <f t="shared" ref="AL12:AL13" si="8">SUM(D12:G12)</f>
        <v>17308</v>
      </c>
      <c r="AM12" s="52">
        <f t="shared" ref="AM12:AM13" si="9">SUM(H12:K12)</f>
        <v>16461</v>
      </c>
      <c r="AN12" s="52">
        <f t="shared" ref="AN12:AN13" si="10">SUM(L12:O12)</f>
        <v>13727</v>
      </c>
      <c r="AO12" s="52">
        <f>SUM($P12:S12)</f>
        <v>14060</v>
      </c>
      <c r="AP12" s="52">
        <f>SUM($T12:W12)</f>
        <v>14785</v>
      </c>
      <c r="AQ12" s="52">
        <f>SUM($X12:AA12)</f>
        <v>18951</v>
      </c>
      <c r="AR12" s="52">
        <f>SUM($AB12:AE12)</f>
        <v>23001</v>
      </c>
      <c r="AS12" s="52">
        <f>SUM($AF12:AI12)</f>
        <v>24734</v>
      </c>
      <c r="AT12" s="52">
        <f>SUM($AJ12:AJ12)</f>
        <v>6585</v>
      </c>
      <c r="AW12" s="109"/>
    </row>
    <row r="13" spans="2:49" ht="12" customHeight="1" x14ac:dyDescent="0.2">
      <c r="B13" s="171" t="s">
        <v>5</v>
      </c>
      <c r="C13" s="172"/>
      <c r="D13" s="52">
        <f>'Segmenty 2018'!N10</f>
        <v>14526</v>
      </c>
      <c r="E13" s="52">
        <f>'Segmenty 2018'!N27</f>
        <v>14687</v>
      </c>
      <c r="F13" s="52">
        <f>'Segmenty 2018'!N44</f>
        <v>13302</v>
      </c>
      <c r="G13" s="52">
        <f>'Segmenty 2018'!N61</f>
        <v>15116</v>
      </c>
      <c r="H13" s="52">
        <f>'Segmenty 2019'!N10</f>
        <v>15004</v>
      </c>
      <c r="I13" s="52">
        <f>'Segmenty 2019'!N27</f>
        <v>14777</v>
      </c>
      <c r="J13" s="52">
        <f>'Segmenty 2019'!N44</f>
        <v>13183</v>
      </c>
      <c r="K13" s="52">
        <f>'Segmenty 2019'!N61</f>
        <v>13479</v>
      </c>
      <c r="L13" s="52">
        <f>'Segmenty 2020'!N10</f>
        <v>13736</v>
      </c>
      <c r="M13" s="52">
        <f>'Segmenty 2020'!N27</f>
        <v>13895</v>
      </c>
      <c r="N13" s="52">
        <v>13452</v>
      </c>
      <c r="O13" s="52">
        <v>13547</v>
      </c>
      <c r="P13" s="52">
        <v>13492</v>
      </c>
      <c r="Q13" s="52">
        <v>12810</v>
      </c>
      <c r="R13" s="52">
        <v>11169</v>
      </c>
      <c r="S13" s="52">
        <f>14453-1</f>
        <v>14452</v>
      </c>
      <c r="T13" s="52">
        <v>13509</v>
      </c>
      <c r="U13" s="52">
        <v>14277</v>
      </c>
      <c r="V13" s="52">
        <v>10919</v>
      </c>
      <c r="W13" s="52">
        <v>12549</v>
      </c>
      <c r="X13" s="52">
        <v>15037</v>
      </c>
      <c r="Y13" s="52">
        <v>14909</v>
      </c>
      <c r="Z13" s="52">
        <f>15569-0.5</f>
        <v>15568.5</v>
      </c>
      <c r="AA13" s="52">
        <v>16220.5</v>
      </c>
      <c r="AB13" s="52">
        <v>17425</v>
      </c>
      <c r="AC13" s="52">
        <v>19065</v>
      </c>
      <c r="AD13" s="52">
        <v>16457</v>
      </c>
      <c r="AE13" s="52">
        <v>16519</v>
      </c>
      <c r="AF13" s="52">
        <v>19500</v>
      </c>
      <c r="AG13" s="52">
        <v>19560</v>
      </c>
      <c r="AH13" s="52">
        <v>18603</v>
      </c>
      <c r="AI13" s="52">
        <v>21605</v>
      </c>
      <c r="AJ13" s="52">
        <v>18205</v>
      </c>
      <c r="AL13" s="52">
        <f t="shared" si="8"/>
        <v>57631</v>
      </c>
      <c r="AM13" s="52">
        <f t="shared" si="9"/>
        <v>56443</v>
      </c>
      <c r="AN13" s="52">
        <f t="shared" si="10"/>
        <v>54630</v>
      </c>
      <c r="AO13" s="52">
        <f>SUM($P13:S13)</f>
        <v>51923</v>
      </c>
      <c r="AP13" s="52">
        <f>SUM($T13:W13)</f>
        <v>51254</v>
      </c>
      <c r="AQ13" s="52">
        <f>SUM($X13:AA13)</f>
        <v>61735</v>
      </c>
      <c r="AR13" s="52">
        <f>SUM($AB13:AE13)</f>
        <v>69466</v>
      </c>
      <c r="AS13" s="52">
        <f>SUM($AF13:AI13)</f>
        <v>79268</v>
      </c>
      <c r="AT13" s="52">
        <f>SUM($AJ13:AJ13)</f>
        <v>18205</v>
      </c>
      <c r="AW13" s="109"/>
    </row>
    <row r="14" spans="2:49" ht="12" customHeight="1" x14ac:dyDescent="0.2">
      <c r="B14" s="173" t="s">
        <v>204</v>
      </c>
      <c r="C14" s="173"/>
      <c r="D14" s="44">
        <f>D11-D12-D13</f>
        <v>4372</v>
      </c>
      <c r="E14" s="44">
        <f t="shared" ref="E14:R14" si="11">E11-E12-E13</f>
        <v>11234</v>
      </c>
      <c r="F14" s="44">
        <f t="shared" si="11"/>
        <v>10374</v>
      </c>
      <c r="G14" s="44">
        <f t="shared" si="11"/>
        <v>18127</v>
      </c>
      <c r="H14" s="44">
        <f t="shared" si="11"/>
        <v>7424</v>
      </c>
      <c r="I14" s="44">
        <f t="shared" si="11"/>
        <v>5659</v>
      </c>
      <c r="J14" s="44">
        <f t="shared" si="11"/>
        <v>8971</v>
      </c>
      <c r="K14" s="44">
        <f t="shared" si="11"/>
        <v>335</v>
      </c>
      <c r="L14" s="44">
        <f t="shared" si="11"/>
        <v>4650</v>
      </c>
      <c r="M14" s="44">
        <f t="shared" si="11"/>
        <v>8287</v>
      </c>
      <c r="N14" s="44">
        <f t="shared" si="11"/>
        <v>9332</v>
      </c>
      <c r="O14" s="44">
        <f t="shared" si="11"/>
        <v>8973</v>
      </c>
      <c r="P14" s="44">
        <f t="shared" si="11"/>
        <v>1366</v>
      </c>
      <c r="Q14" s="44">
        <f t="shared" si="11"/>
        <v>-1033</v>
      </c>
      <c r="R14" s="44">
        <f t="shared" si="11"/>
        <v>-421</v>
      </c>
      <c r="S14" s="44">
        <f t="shared" ref="S14:AI14" si="12">S11-S12-S13</f>
        <v>-3476</v>
      </c>
      <c r="T14" s="44">
        <f t="shared" si="12"/>
        <v>-9394</v>
      </c>
      <c r="U14" s="44">
        <f t="shared" si="12"/>
        <v>2362</v>
      </c>
      <c r="V14" s="44">
        <f t="shared" si="12"/>
        <v>6488</v>
      </c>
      <c r="W14" s="44">
        <f t="shared" si="12"/>
        <v>4177</v>
      </c>
      <c r="X14" s="44">
        <f t="shared" si="12"/>
        <v>4207</v>
      </c>
      <c r="Y14" s="44">
        <f t="shared" si="12"/>
        <v>6018</v>
      </c>
      <c r="Z14" s="44">
        <f t="shared" si="12"/>
        <v>11244.5</v>
      </c>
      <c r="AA14" s="44">
        <f t="shared" si="12"/>
        <v>11847.5</v>
      </c>
      <c r="AB14" s="44">
        <f t="shared" si="12"/>
        <v>10206</v>
      </c>
      <c r="AC14" s="44">
        <f t="shared" si="12"/>
        <v>18445</v>
      </c>
      <c r="AD14" s="44">
        <f t="shared" si="12"/>
        <v>15335</v>
      </c>
      <c r="AE14" s="44">
        <f t="shared" si="12"/>
        <v>16107</v>
      </c>
      <c r="AF14" s="44">
        <f t="shared" si="12"/>
        <v>7418</v>
      </c>
      <c r="AG14" s="44">
        <f t="shared" si="12"/>
        <v>11913</v>
      </c>
      <c r="AH14" s="44">
        <f t="shared" si="12"/>
        <v>14859</v>
      </c>
      <c r="AI14" s="44">
        <f t="shared" si="12"/>
        <v>-7826</v>
      </c>
      <c r="AJ14" s="44">
        <f t="shared" ref="AJ14" si="13">AJ11-AJ12-AJ13</f>
        <v>10589</v>
      </c>
      <c r="AL14" s="44">
        <f t="shared" ref="AL14" si="14">AL11-AL12-AL13</f>
        <v>44107</v>
      </c>
      <c r="AM14" s="44">
        <f t="shared" ref="AM14" si="15">AM11-AM12-AM13</f>
        <v>22389</v>
      </c>
      <c r="AN14" s="44">
        <f t="shared" ref="AN14:AO14" si="16">AN11-AN12-AN13</f>
        <v>31242</v>
      </c>
      <c r="AO14" s="44">
        <f t="shared" si="16"/>
        <v>-3564</v>
      </c>
      <c r="AP14" s="44">
        <f t="shared" ref="AP14:AR14" si="17">AP11-AP12-AP13</f>
        <v>3633</v>
      </c>
      <c r="AQ14" s="44">
        <f t="shared" si="17"/>
        <v>33317</v>
      </c>
      <c r="AR14" s="44">
        <f t="shared" si="17"/>
        <v>60093</v>
      </c>
      <c r="AS14" s="44">
        <f t="shared" ref="AS14:AT14" si="18">AS11-AS12-AS13</f>
        <v>26364</v>
      </c>
      <c r="AT14" s="44">
        <f t="shared" si="18"/>
        <v>10589</v>
      </c>
      <c r="AW14" s="109"/>
    </row>
    <row r="15" spans="2:49" ht="12" customHeight="1" x14ac:dyDescent="0.2">
      <c r="B15" s="171" t="s">
        <v>350</v>
      </c>
      <c r="C15" s="17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84"/>
      <c r="S15" s="84"/>
      <c r="T15" s="84"/>
      <c r="U15" s="84"/>
      <c r="V15" s="84"/>
      <c r="W15" s="84"/>
      <c r="X15" s="84"/>
      <c r="Y15" s="84"/>
      <c r="Z15" s="52"/>
      <c r="AA15" s="52">
        <v>-139</v>
      </c>
      <c r="AB15" s="52"/>
      <c r="AC15" s="52"/>
      <c r="AD15" s="52"/>
      <c r="AE15" s="52">
        <v>419</v>
      </c>
      <c r="AF15" s="52">
        <v>-54</v>
      </c>
      <c r="AG15" s="52">
        <v>-444</v>
      </c>
      <c r="AH15" s="52">
        <v>3</v>
      </c>
      <c r="AI15" s="52">
        <v>941</v>
      </c>
      <c r="AJ15" s="52">
        <v>202</v>
      </c>
      <c r="AL15" s="52"/>
      <c r="AM15" s="52"/>
      <c r="AN15" s="52"/>
      <c r="AO15" s="52"/>
      <c r="AP15" s="52"/>
      <c r="AQ15" s="52">
        <f>SUM($X15:AA15)</f>
        <v>-139</v>
      </c>
      <c r="AR15" s="52">
        <f>SUM($AB15:AE15)</f>
        <v>419</v>
      </c>
      <c r="AS15" s="52">
        <f>SUM($AF15:AI15)</f>
        <v>446</v>
      </c>
      <c r="AT15" s="52">
        <f>SUM($AJ15:AJ15)</f>
        <v>202</v>
      </c>
      <c r="AW15" s="109"/>
    </row>
    <row r="16" spans="2:49" ht="12" customHeight="1" x14ac:dyDescent="0.2">
      <c r="B16" s="171" t="s">
        <v>205</v>
      </c>
      <c r="C16" s="172"/>
      <c r="D16" s="52">
        <f>'Segmenty 2018'!N12</f>
        <v>-428</v>
      </c>
      <c r="E16" s="52">
        <f>'Segmenty 2018'!N29</f>
        <v>-334</v>
      </c>
      <c r="F16" s="52">
        <f>'Segmenty 2018'!N46</f>
        <v>-2042</v>
      </c>
      <c r="G16" s="52">
        <f>'Segmenty 2018'!N63</f>
        <v>-3358</v>
      </c>
      <c r="H16" s="52">
        <f>'Segmenty 2019'!N12</f>
        <v>-252</v>
      </c>
      <c r="I16" s="52">
        <f>'Segmenty 2019'!N29</f>
        <v>-407</v>
      </c>
      <c r="J16" s="52">
        <f>'Segmenty 2019'!N46</f>
        <v>-3963</v>
      </c>
      <c r="K16" s="52">
        <f>'Segmenty 2019'!N63</f>
        <v>5666</v>
      </c>
      <c r="L16" s="52">
        <v>651</v>
      </c>
      <c r="M16" s="52">
        <v>-1100</v>
      </c>
      <c r="N16" s="52">
        <v>2198</v>
      </c>
      <c r="O16" s="52">
        <v>1196</v>
      </c>
      <c r="P16" s="52">
        <v>1474</v>
      </c>
      <c r="Q16" s="52">
        <v>8</v>
      </c>
      <c r="R16" s="84">
        <v>2211</v>
      </c>
      <c r="S16" s="84">
        <v>1463</v>
      </c>
      <c r="T16" s="84">
        <v>619</v>
      </c>
      <c r="U16" s="84">
        <v>211</v>
      </c>
      <c r="V16" s="84">
        <v>-329</v>
      </c>
      <c r="W16" s="84">
        <v>2155</v>
      </c>
      <c r="X16" s="84">
        <v>-452</v>
      </c>
      <c r="Y16" s="84">
        <v>489</v>
      </c>
      <c r="Z16" s="52">
        <v>624</v>
      </c>
      <c r="AA16" s="52">
        <v>259</v>
      </c>
      <c r="AB16" s="52">
        <v>-361</v>
      </c>
      <c r="AC16" s="52">
        <v>-632</v>
      </c>
      <c r="AD16" s="52">
        <v>-704</v>
      </c>
      <c r="AE16" s="52">
        <v>-2985</v>
      </c>
      <c r="AF16" s="52">
        <v>106</v>
      </c>
      <c r="AG16" s="52">
        <v>-80</v>
      </c>
      <c r="AH16" s="52">
        <v>1323</v>
      </c>
      <c r="AI16" s="52">
        <v>16566</v>
      </c>
      <c r="AJ16" s="52">
        <v>-12</v>
      </c>
      <c r="AL16" s="52">
        <f t="shared" ref="AL16:AL18" si="19">SUM(D16:G16)</f>
        <v>-6162</v>
      </c>
      <c r="AM16" s="52">
        <f t="shared" ref="AM16:AM18" si="20">SUM(H16:K16)</f>
        <v>1044</v>
      </c>
      <c r="AN16" s="52">
        <f t="shared" ref="AN16:AN18" si="21">SUM(L16:O16)</f>
        <v>2945</v>
      </c>
      <c r="AO16" s="52">
        <f>SUM($P16:S16)</f>
        <v>5156</v>
      </c>
      <c r="AP16" s="52">
        <f>SUM($T16:W16)</f>
        <v>2656</v>
      </c>
      <c r="AQ16" s="52">
        <f>SUM($X16:AA16)</f>
        <v>920</v>
      </c>
      <c r="AR16" s="52">
        <f>SUM($AB16:AE16)</f>
        <v>-4682</v>
      </c>
      <c r="AS16" s="52">
        <f>SUM($AF16:AI16)</f>
        <v>17915</v>
      </c>
      <c r="AT16" s="52">
        <f>SUM($AJ16:AJ16)</f>
        <v>-12</v>
      </c>
      <c r="AW16" s="109"/>
    </row>
    <row r="17" spans="2:51" ht="12" customHeight="1" x14ac:dyDescent="0.2">
      <c r="B17" s="180" t="s">
        <v>206</v>
      </c>
      <c r="C17" s="181"/>
      <c r="D17" s="52">
        <f>'Segmenty 2018'!N13</f>
        <v>0</v>
      </c>
      <c r="E17" s="52">
        <f>'Segmenty 2018'!N30</f>
        <v>0</v>
      </c>
      <c r="F17" s="52">
        <f>'Segmenty 2018'!N47</f>
        <v>0</v>
      </c>
      <c r="G17" s="52">
        <f>'Segmenty 2018'!N64</f>
        <v>0</v>
      </c>
      <c r="H17" s="52">
        <f>'Segmenty 2019'!N13</f>
        <v>0</v>
      </c>
      <c r="I17" s="52">
        <f>'Segmenty 2019'!N30</f>
        <v>0</v>
      </c>
      <c r="J17" s="52">
        <f>'Segmenty 2019'!N47</f>
        <v>0</v>
      </c>
      <c r="K17" s="52">
        <f>'Segmenty 2019'!N64</f>
        <v>0</v>
      </c>
      <c r="L17" s="52">
        <f>'Segmenty 2020'!N13</f>
        <v>0</v>
      </c>
      <c r="M17" s="52">
        <f>'Segmenty 2020'!N30</f>
        <v>0</v>
      </c>
      <c r="N17" s="52">
        <f>'Segmenty 2020'!N47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0</v>
      </c>
      <c r="AL17" s="52">
        <f t="shared" si="19"/>
        <v>0</v>
      </c>
      <c r="AM17" s="52">
        <f t="shared" si="20"/>
        <v>0</v>
      </c>
      <c r="AN17" s="52">
        <f t="shared" si="21"/>
        <v>0</v>
      </c>
      <c r="AO17" s="52">
        <f>SUM($P17:S17)</f>
        <v>0</v>
      </c>
      <c r="AP17" s="52">
        <f>SUM($T17:W17)</f>
        <v>0</v>
      </c>
      <c r="AQ17" s="52">
        <f>SUM($X17:AA17)</f>
        <v>0</v>
      </c>
      <c r="AR17" s="52">
        <f>SUM($AB17:AE17)</f>
        <v>0</v>
      </c>
      <c r="AS17" s="52">
        <f>SUM($AF17:AI17)</f>
        <v>0</v>
      </c>
      <c r="AT17" s="52">
        <f>SUM($AJ17:AJ17)</f>
        <v>0</v>
      </c>
      <c r="AW17" s="109"/>
    </row>
    <row r="18" spans="2:51" ht="12" customHeight="1" x14ac:dyDescent="0.2">
      <c r="B18" s="180" t="s">
        <v>27</v>
      </c>
      <c r="C18" s="181"/>
      <c r="D18" s="52">
        <f>'Segmenty 2018'!N14</f>
        <v>0</v>
      </c>
      <c r="E18" s="52">
        <f>'Segmenty 2018'!N31</f>
        <v>0</v>
      </c>
      <c r="F18" s="52">
        <f>'Segmenty 2018'!N48</f>
        <v>0</v>
      </c>
      <c r="G18" s="52">
        <f>'Segmenty 2018'!N65</f>
        <v>0</v>
      </c>
      <c r="H18" s="52">
        <f>'Segmenty 2019'!N14</f>
        <v>0</v>
      </c>
      <c r="I18" s="52">
        <f>'Segmenty 2019'!N31</f>
        <v>0</v>
      </c>
      <c r="J18" s="52">
        <f>'Segmenty 2019'!N48</f>
        <v>0</v>
      </c>
      <c r="K18" s="52">
        <f>'Segmenty 2019'!N65</f>
        <v>0</v>
      </c>
      <c r="L18" s="52">
        <f>'Segmenty 2020'!N14</f>
        <v>0</v>
      </c>
      <c r="M18" s="52">
        <f>'Segmenty 2020'!N31</f>
        <v>0</v>
      </c>
      <c r="N18" s="52">
        <f>'Segmenty 2020'!N48</f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L18" s="52">
        <f t="shared" si="19"/>
        <v>0</v>
      </c>
      <c r="AM18" s="52">
        <f t="shared" si="20"/>
        <v>0</v>
      </c>
      <c r="AN18" s="52">
        <f t="shared" si="21"/>
        <v>0</v>
      </c>
      <c r="AO18" s="52">
        <f>SUM($P18:S18)</f>
        <v>0</v>
      </c>
      <c r="AP18" s="52">
        <f>SUM($T18:W18)</f>
        <v>0</v>
      </c>
      <c r="AQ18" s="52">
        <f>SUM($X18:AA18)</f>
        <v>0</v>
      </c>
      <c r="AR18" s="52">
        <f>SUM($AB18:AE18)</f>
        <v>0</v>
      </c>
      <c r="AS18" s="52">
        <f>SUM($AF18:AI18)</f>
        <v>0</v>
      </c>
      <c r="AT18" s="52">
        <f>SUM($AJ18:AJ18)</f>
        <v>0</v>
      </c>
      <c r="AW18" s="109"/>
    </row>
    <row r="19" spans="2:51" ht="12" customHeight="1" x14ac:dyDescent="0.2">
      <c r="B19" s="173" t="s">
        <v>207</v>
      </c>
      <c r="C19" s="173"/>
      <c r="D19" s="44">
        <f t="shared" ref="D19:AD19" si="22">D14+D15+D16+D17+D18</f>
        <v>3944</v>
      </c>
      <c r="E19" s="44">
        <f t="shared" si="22"/>
        <v>10900</v>
      </c>
      <c r="F19" s="44">
        <f t="shared" si="22"/>
        <v>8332</v>
      </c>
      <c r="G19" s="44">
        <f t="shared" si="22"/>
        <v>14769</v>
      </c>
      <c r="H19" s="44">
        <f t="shared" si="22"/>
        <v>7172</v>
      </c>
      <c r="I19" s="44">
        <f t="shared" si="22"/>
        <v>5252</v>
      </c>
      <c r="J19" s="44">
        <f t="shared" si="22"/>
        <v>5008</v>
      </c>
      <c r="K19" s="44">
        <f t="shared" si="22"/>
        <v>6001</v>
      </c>
      <c r="L19" s="44">
        <f t="shared" si="22"/>
        <v>5301</v>
      </c>
      <c r="M19" s="44">
        <f t="shared" si="22"/>
        <v>7187</v>
      </c>
      <c r="N19" s="44">
        <f t="shared" si="22"/>
        <v>11530</v>
      </c>
      <c r="O19" s="44">
        <f t="shared" si="22"/>
        <v>10169</v>
      </c>
      <c r="P19" s="44">
        <f t="shared" si="22"/>
        <v>2840</v>
      </c>
      <c r="Q19" s="44">
        <f t="shared" si="22"/>
        <v>-1025</v>
      </c>
      <c r="R19" s="44">
        <f t="shared" si="22"/>
        <v>1790</v>
      </c>
      <c r="S19" s="44">
        <f t="shared" si="22"/>
        <v>-2013</v>
      </c>
      <c r="T19" s="44">
        <f t="shared" si="22"/>
        <v>-8775</v>
      </c>
      <c r="U19" s="44">
        <f t="shared" si="22"/>
        <v>2573</v>
      </c>
      <c r="V19" s="44">
        <f t="shared" si="22"/>
        <v>6159</v>
      </c>
      <c r="W19" s="44">
        <f t="shared" si="22"/>
        <v>6332</v>
      </c>
      <c r="X19" s="44">
        <f t="shared" si="22"/>
        <v>3755</v>
      </c>
      <c r="Y19" s="44">
        <f t="shared" si="22"/>
        <v>6507</v>
      </c>
      <c r="Z19" s="44">
        <f t="shared" si="22"/>
        <v>11868.5</v>
      </c>
      <c r="AA19" s="44">
        <f t="shared" si="22"/>
        <v>11967.5</v>
      </c>
      <c r="AB19" s="44">
        <f t="shared" si="22"/>
        <v>9845</v>
      </c>
      <c r="AC19" s="44">
        <f t="shared" si="22"/>
        <v>17813</v>
      </c>
      <c r="AD19" s="44">
        <f t="shared" si="22"/>
        <v>14631</v>
      </c>
      <c r="AE19" s="44">
        <f t="shared" ref="AE19:AJ19" si="23">AE14+AE15+AE16+AE17+AE18</f>
        <v>13541</v>
      </c>
      <c r="AF19" s="44">
        <f t="shared" si="23"/>
        <v>7470</v>
      </c>
      <c r="AG19" s="44">
        <f t="shared" si="23"/>
        <v>11389</v>
      </c>
      <c r="AH19" s="44">
        <f t="shared" si="23"/>
        <v>16185</v>
      </c>
      <c r="AI19" s="44">
        <f t="shared" si="23"/>
        <v>9681</v>
      </c>
      <c r="AJ19" s="44">
        <f t="shared" si="23"/>
        <v>10779</v>
      </c>
      <c r="AL19" s="44">
        <f t="shared" ref="AL19:AR19" si="24">AL14+AL15+AL16+AL17+AL18</f>
        <v>37945</v>
      </c>
      <c r="AM19" s="44">
        <f t="shared" si="24"/>
        <v>23433</v>
      </c>
      <c r="AN19" s="44">
        <f t="shared" si="24"/>
        <v>34187</v>
      </c>
      <c r="AO19" s="44">
        <f t="shared" si="24"/>
        <v>1592</v>
      </c>
      <c r="AP19" s="44">
        <f t="shared" si="24"/>
        <v>6289</v>
      </c>
      <c r="AQ19" s="44">
        <f t="shared" si="24"/>
        <v>34098</v>
      </c>
      <c r="AR19" s="44">
        <f t="shared" si="24"/>
        <v>55830</v>
      </c>
      <c r="AS19" s="44">
        <f t="shared" ref="AS19:AT19" si="25">AS14+AS15+AS16+AS17+AS18</f>
        <v>44725</v>
      </c>
      <c r="AT19" s="44">
        <f t="shared" si="25"/>
        <v>10779</v>
      </c>
      <c r="AW19" s="109"/>
    </row>
    <row r="20" spans="2:51" ht="12" customHeight="1" x14ac:dyDescent="0.2">
      <c r="B20" s="89" t="s">
        <v>22</v>
      </c>
      <c r="C20" s="76"/>
      <c r="D20" s="52">
        <f>'Segmenty 2018'!N16</f>
        <v>5272</v>
      </c>
      <c r="E20" s="52">
        <f>'Segmenty 2018'!N33</f>
        <v>5162</v>
      </c>
      <c r="F20" s="52">
        <f>'Segmenty 2018'!N50</f>
        <v>5307</v>
      </c>
      <c r="G20" s="52">
        <f>'Segmenty 2018'!N67</f>
        <v>5649</v>
      </c>
      <c r="H20" s="52">
        <f>'Segmenty 2019'!N16</f>
        <v>5964</v>
      </c>
      <c r="I20" s="52">
        <f>'Segmenty 2019'!N33</f>
        <v>6303</v>
      </c>
      <c r="J20" s="52">
        <f>'Segmenty 2019'!N50</f>
        <v>6257</v>
      </c>
      <c r="K20" s="52">
        <f>'Segmenty 2019'!N67</f>
        <v>6426</v>
      </c>
      <c r="L20" s="52">
        <v>6469</v>
      </c>
      <c r="M20" s="52">
        <f>'Segmenty 2020'!N33</f>
        <v>6902</v>
      </c>
      <c r="N20" s="52">
        <v>6734</v>
      </c>
      <c r="O20" s="52">
        <f>6490+1</f>
        <v>6491</v>
      </c>
      <c r="P20" s="52">
        <v>6296</v>
      </c>
      <c r="Q20" s="52">
        <v>6663</v>
      </c>
      <c r="R20" s="52">
        <v>7030</v>
      </c>
      <c r="S20" s="52">
        <f>7122+1</f>
        <v>7123</v>
      </c>
      <c r="T20" s="52">
        <v>7358</v>
      </c>
      <c r="U20" s="52">
        <v>6821</v>
      </c>
      <c r="V20" s="52">
        <v>6855</v>
      </c>
      <c r="W20" s="52">
        <v>6770</v>
      </c>
      <c r="X20" s="52">
        <v>6704</v>
      </c>
      <c r="Y20" s="52">
        <v>6723</v>
      </c>
      <c r="Z20" s="52">
        <f>6641+0.5</f>
        <v>6641.5</v>
      </c>
      <c r="AA20" s="52">
        <v>6753.5</v>
      </c>
      <c r="AB20" s="52">
        <v>5946</v>
      </c>
      <c r="AC20" s="52">
        <v>6209</v>
      </c>
      <c r="AD20" s="52">
        <v>6260</v>
      </c>
      <c r="AE20" s="52">
        <v>6862</v>
      </c>
      <c r="AF20" s="52">
        <v>7443</v>
      </c>
      <c r="AG20" s="52">
        <v>7482</v>
      </c>
      <c r="AH20" s="52">
        <v>8064</v>
      </c>
      <c r="AI20" s="52">
        <v>8113</v>
      </c>
      <c r="AJ20" s="52">
        <v>8190</v>
      </c>
      <c r="AL20" s="52">
        <f>SUM(D20:G20)</f>
        <v>21390</v>
      </c>
      <c r="AM20" s="52">
        <f>SUM(H20:K20)</f>
        <v>24950</v>
      </c>
      <c r="AN20" s="52">
        <f>SUM(L20:O20)</f>
        <v>26596</v>
      </c>
      <c r="AO20" s="52">
        <f>SUM($P20:S20)</f>
        <v>27112</v>
      </c>
      <c r="AP20" s="52">
        <f>SUM($T20:W20)</f>
        <v>27804</v>
      </c>
      <c r="AQ20" s="52">
        <f>SUM($X20:AA20)</f>
        <v>26822</v>
      </c>
      <c r="AR20" s="52">
        <f>SUM($AB20:AE20)</f>
        <v>25277</v>
      </c>
      <c r="AS20" s="52">
        <f>SUM($AF20:AI20)</f>
        <v>31102</v>
      </c>
      <c r="AT20" s="52">
        <f>SUM($AJ20:AJ20)</f>
        <v>8190</v>
      </c>
      <c r="AV20" s="47"/>
      <c r="AW20" s="47"/>
    </row>
    <row r="21" spans="2:51" ht="12" customHeight="1" x14ac:dyDescent="0.2">
      <c r="B21" s="173" t="s">
        <v>23</v>
      </c>
      <c r="C21" s="173"/>
      <c r="D21" s="44">
        <f>D19+D20</f>
        <v>9216</v>
      </c>
      <c r="E21" s="44">
        <f t="shared" ref="E21:R21" si="26">E19+E20</f>
        <v>16062</v>
      </c>
      <c r="F21" s="44">
        <f t="shared" si="26"/>
        <v>13639</v>
      </c>
      <c r="G21" s="44">
        <f t="shared" si="26"/>
        <v>20418</v>
      </c>
      <c r="H21" s="44">
        <f t="shared" si="26"/>
        <v>13136</v>
      </c>
      <c r="I21" s="44">
        <f t="shared" si="26"/>
        <v>11555</v>
      </c>
      <c r="J21" s="44">
        <f t="shared" si="26"/>
        <v>11265</v>
      </c>
      <c r="K21" s="44">
        <f t="shared" si="26"/>
        <v>12427</v>
      </c>
      <c r="L21" s="44">
        <f t="shared" si="26"/>
        <v>11770</v>
      </c>
      <c r="M21" s="44">
        <f t="shared" si="26"/>
        <v>14089</v>
      </c>
      <c r="N21" s="44">
        <f t="shared" si="26"/>
        <v>18264</v>
      </c>
      <c r="O21" s="44">
        <f t="shared" si="26"/>
        <v>16660</v>
      </c>
      <c r="P21" s="44">
        <f t="shared" si="26"/>
        <v>9136</v>
      </c>
      <c r="Q21" s="44">
        <f t="shared" si="26"/>
        <v>5638</v>
      </c>
      <c r="R21" s="44">
        <f t="shared" si="26"/>
        <v>8820</v>
      </c>
      <c r="S21" s="44">
        <f t="shared" ref="S21:AI21" si="27">S19+S20</f>
        <v>5110</v>
      </c>
      <c r="T21" s="44">
        <f t="shared" si="27"/>
        <v>-1417</v>
      </c>
      <c r="U21" s="44">
        <f t="shared" si="27"/>
        <v>9394</v>
      </c>
      <c r="V21" s="44">
        <f t="shared" si="27"/>
        <v>13014</v>
      </c>
      <c r="W21" s="44">
        <f t="shared" si="27"/>
        <v>13102</v>
      </c>
      <c r="X21" s="44">
        <f t="shared" si="27"/>
        <v>10459</v>
      </c>
      <c r="Y21" s="44">
        <f t="shared" si="27"/>
        <v>13230</v>
      </c>
      <c r="Z21" s="44">
        <f t="shared" si="27"/>
        <v>18510</v>
      </c>
      <c r="AA21" s="44">
        <f t="shared" si="27"/>
        <v>18721</v>
      </c>
      <c r="AB21" s="44">
        <f t="shared" si="27"/>
        <v>15791</v>
      </c>
      <c r="AC21" s="44">
        <f t="shared" si="27"/>
        <v>24022</v>
      </c>
      <c r="AD21" s="44">
        <f t="shared" si="27"/>
        <v>20891</v>
      </c>
      <c r="AE21" s="44">
        <f t="shared" si="27"/>
        <v>20403</v>
      </c>
      <c r="AF21" s="44">
        <f t="shared" si="27"/>
        <v>14913</v>
      </c>
      <c r="AG21" s="44">
        <f t="shared" si="27"/>
        <v>18871</v>
      </c>
      <c r="AH21" s="44">
        <f t="shared" si="27"/>
        <v>24249</v>
      </c>
      <c r="AI21" s="44">
        <f t="shared" si="27"/>
        <v>17794</v>
      </c>
      <c r="AJ21" s="44">
        <f t="shared" ref="AJ21" si="28">AJ19+AJ20</f>
        <v>18969</v>
      </c>
      <c r="AL21" s="44">
        <f t="shared" ref="AL21" si="29">AL19+AL20</f>
        <v>59335</v>
      </c>
      <c r="AM21" s="44">
        <f t="shared" ref="AM21" si="30">AM19+AM20</f>
        <v>48383</v>
      </c>
      <c r="AN21" s="44">
        <f t="shared" ref="AN21:AO21" si="31">AN19+AN20</f>
        <v>60783</v>
      </c>
      <c r="AO21" s="44">
        <f t="shared" si="31"/>
        <v>28704</v>
      </c>
      <c r="AP21" s="44">
        <f t="shared" ref="AP21" si="32">AP19+AP20</f>
        <v>34093</v>
      </c>
      <c r="AQ21" s="44">
        <f>AQ19+AQ20+0.5</f>
        <v>60920.5</v>
      </c>
      <c r="AR21" s="44">
        <f>AR19+AR20</f>
        <v>81107</v>
      </c>
      <c r="AS21" s="44">
        <f>AS19+AS20</f>
        <v>75827</v>
      </c>
      <c r="AT21" s="44">
        <f>AT19+AT20</f>
        <v>18969</v>
      </c>
      <c r="AV21" s="47"/>
      <c r="AW21" s="47"/>
    </row>
    <row r="22" spans="2:51" s="47" customFormat="1" ht="12" customHeight="1" x14ac:dyDescent="0.2">
      <c r="B22" s="77"/>
      <c r="C22" s="78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X22" s="46"/>
      <c r="AY22" s="46"/>
    </row>
    <row r="23" spans="2:51" s="47" customFormat="1" ht="12" customHeight="1" x14ac:dyDescent="0.2">
      <c r="B23" s="48"/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X23" s="46"/>
    </row>
    <row r="24" spans="2:51" ht="12" customHeight="1" x14ac:dyDescent="0.2">
      <c r="B24" s="92" t="s">
        <v>264</v>
      </c>
      <c r="C24" s="72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L24" s="47"/>
      <c r="AM24" s="47"/>
      <c r="AN24" s="47"/>
      <c r="AO24" s="47"/>
      <c r="AP24" s="47"/>
      <c r="AQ24" s="47"/>
      <c r="AR24" s="47"/>
      <c r="AS24" s="47"/>
      <c r="AT24" s="47"/>
    </row>
    <row r="25" spans="2:51" ht="12" customHeight="1" x14ac:dyDescent="0.2">
      <c r="B25" s="174" t="s">
        <v>59</v>
      </c>
      <c r="C25" s="175"/>
      <c r="D25" s="168" t="s">
        <v>121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4"/>
      <c r="AG25" s="164"/>
      <c r="AH25" s="164"/>
      <c r="AI25" s="164"/>
      <c r="AJ25" s="164"/>
      <c r="AL25" s="47"/>
      <c r="AM25" s="47"/>
      <c r="AN25" s="47"/>
      <c r="AO25" s="47"/>
      <c r="AP25" s="47"/>
      <c r="AQ25" s="47"/>
      <c r="AR25" s="47"/>
      <c r="AS25" s="47"/>
      <c r="AT25" s="47"/>
    </row>
    <row r="26" spans="2:51" ht="12" customHeight="1" x14ac:dyDescent="0.2">
      <c r="B26" s="176"/>
      <c r="C26" s="177"/>
      <c r="D26" s="4" t="s">
        <v>233</v>
      </c>
      <c r="E26" s="4" t="s">
        <v>234</v>
      </c>
      <c r="F26" s="4" t="s">
        <v>235</v>
      </c>
      <c r="G26" s="4" t="s">
        <v>236</v>
      </c>
      <c r="H26" s="4" t="s">
        <v>237</v>
      </c>
      <c r="I26" s="4" t="s">
        <v>238</v>
      </c>
      <c r="J26" s="4" t="s">
        <v>239</v>
      </c>
      <c r="K26" s="4" t="s">
        <v>240</v>
      </c>
      <c r="L26" s="4" t="s">
        <v>241</v>
      </c>
      <c r="M26" s="4" t="s">
        <v>242</v>
      </c>
      <c r="N26" s="4" t="s">
        <v>243</v>
      </c>
      <c r="O26" s="4" t="s">
        <v>244</v>
      </c>
      <c r="P26" s="4" t="s">
        <v>295</v>
      </c>
      <c r="Q26" s="4" t="s">
        <v>297</v>
      </c>
      <c r="R26" s="4" t="s">
        <v>301</v>
      </c>
      <c r="S26" s="4" t="s">
        <v>306</v>
      </c>
      <c r="T26" s="4" t="s">
        <v>309</v>
      </c>
      <c r="U26" s="4" t="s">
        <v>312</v>
      </c>
      <c r="V26" s="4" t="str">
        <f>V8</f>
        <v>3Q2022</v>
      </c>
      <c r="W26" s="4" t="str">
        <f>W8</f>
        <v>4Q2022</v>
      </c>
      <c r="X26" s="4" t="s">
        <v>323</v>
      </c>
      <c r="Y26" s="4" t="s">
        <v>325</v>
      </c>
      <c r="Z26" s="4" t="s">
        <v>328</v>
      </c>
      <c r="AA26" s="4" t="s">
        <v>331</v>
      </c>
      <c r="AB26" s="4" t="str">
        <f>AB8</f>
        <v>1Q2024</v>
      </c>
      <c r="AC26" s="4" t="s">
        <v>336</v>
      </c>
      <c r="AD26" s="4" t="s">
        <v>341</v>
      </c>
      <c r="AE26" s="4" t="s">
        <v>345</v>
      </c>
      <c r="AF26" s="4" t="s">
        <v>355</v>
      </c>
      <c r="AG26" s="4" t="s">
        <v>357</v>
      </c>
      <c r="AH26" s="4" t="s">
        <v>361</v>
      </c>
      <c r="AI26" s="4" t="s">
        <v>364</v>
      </c>
      <c r="AJ26" s="4" t="s">
        <v>367</v>
      </c>
      <c r="AL26" s="47"/>
      <c r="AM26" s="47"/>
      <c r="AN26" s="47"/>
      <c r="AO26" s="47"/>
      <c r="AP26" s="47"/>
      <c r="AQ26" s="47"/>
      <c r="AR26" s="47"/>
      <c r="AS26" s="47"/>
      <c r="AT26" s="47"/>
    </row>
    <row r="27" spans="2:51" ht="12" customHeight="1" x14ac:dyDescent="0.2">
      <c r="B27" s="178" t="s">
        <v>259</v>
      </c>
      <c r="C27" s="179"/>
      <c r="D27" s="52">
        <v>34755.534198273679</v>
      </c>
      <c r="E27" s="52">
        <v>46965.845385706409</v>
      </c>
      <c r="F27" s="52">
        <v>49255.437393739718</v>
      </c>
      <c r="G27" s="52">
        <v>50118.189812030629</v>
      </c>
      <c r="H27" s="52">
        <v>53046.631135797958</v>
      </c>
      <c r="I27" s="52">
        <v>48693.247829920452</v>
      </c>
      <c r="J27" s="52">
        <v>47581.317701373977</v>
      </c>
      <c r="K27" s="52">
        <v>41829.158856470298</v>
      </c>
      <c r="L27" s="52">
        <v>44160.39659409997</v>
      </c>
      <c r="M27" s="52">
        <v>79780.480389678793</v>
      </c>
      <c r="N27" s="52">
        <v>95024.424569792696</v>
      </c>
      <c r="O27" s="52">
        <v>61458.89146878141</v>
      </c>
      <c r="P27" s="52">
        <v>45464.002401838487</v>
      </c>
      <c r="Q27" s="52">
        <v>51350.017536328072</v>
      </c>
      <c r="R27" s="52">
        <v>52503.404737967576</v>
      </c>
      <c r="S27" s="52">
        <v>38556.447517185145</v>
      </c>
      <c r="T27" s="52">
        <v>42166.657814627331</v>
      </c>
      <c r="U27" s="52">
        <v>53199.030405533507</v>
      </c>
      <c r="V27" s="52">
        <v>76190.482761446998</v>
      </c>
      <c r="W27" s="52">
        <v>68518.000668849505</v>
      </c>
      <c r="X27" s="52">
        <v>62612.595050712182</v>
      </c>
      <c r="Y27" s="52">
        <v>60230.904409970237</v>
      </c>
      <c r="Z27" s="52">
        <v>94388.637551460561</v>
      </c>
      <c r="AA27" s="52">
        <v>81973.607966119191</v>
      </c>
      <c r="AB27" s="52">
        <v>94332.61141057669</v>
      </c>
      <c r="AC27" s="52">
        <v>106591.14343715461</v>
      </c>
      <c r="AD27" s="52">
        <v>86306.125039107326</v>
      </c>
      <c r="AE27" s="52">
        <f>86942.1893061221+1</f>
        <v>86943.189306122105</v>
      </c>
      <c r="AF27" s="52">
        <v>82799.673054015235</v>
      </c>
      <c r="AG27" s="52">
        <v>85087.047181429545</v>
      </c>
      <c r="AH27" s="52">
        <v>93577.891034699627</v>
      </c>
      <c r="AI27" s="52">
        <v>59910.614898618485</v>
      </c>
      <c r="AJ27" s="52">
        <v>90421.910906352699</v>
      </c>
      <c r="AL27" s="47"/>
      <c r="AM27" s="47"/>
      <c r="AN27" s="47"/>
      <c r="AO27" s="47"/>
      <c r="AP27" s="47"/>
      <c r="AQ27" s="47"/>
      <c r="AR27" s="47"/>
      <c r="AS27" s="47"/>
      <c r="AT27" s="47"/>
    </row>
    <row r="28" spans="2:51" ht="12" customHeight="1" x14ac:dyDescent="0.2">
      <c r="B28" s="178" t="s">
        <v>260</v>
      </c>
      <c r="C28" s="179"/>
      <c r="D28" s="52">
        <v>23260.012911726331</v>
      </c>
      <c r="E28" s="52">
        <v>24533.907384293601</v>
      </c>
      <c r="F28" s="52">
        <v>24860.643196260295</v>
      </c>
      <c r="G28" s="52">
        <v>26227.213447969363</v>
      </c>
      <c r="H28" s="52">
        <v>22246.571188168036</v>
      </c>
      <c r="I28" s="52">
        <v>21369.229187605564</v>
      </c>
      <c r="J28" s="52">
        <v>23359.110833469167</v>
      </c>
      <c r="K28" s="52">
        <v>21662.934446591244</v>
      </c>
      <c r="L28" s="52">
        <v>21365.94603757935</v>
      </c>
      <c r="M28" s="52">
        <v>21424.364545416342</v>
      </c>
      <c r="N28" s="52">
        <v>18941.227410447704</v>
      </c>
      <c r="O28" s="52">
        <v>20882.019151218577</v>
      </c>
      <c r="P28" s="52">
        <v>21954.679589329535</v>
      </c>
      <c r="Q28" s="52">
        <v>27484.464209047946</v>
      </c>
      <c r="R28" s="52">
        <v>26379.213754953191</v>
      </c>
      <c r="S28" s="52">
        <v>26390.586232814923</v>
      </c>
      <c r="T28" s="52">
        <v>24807.100626436139</v>
      </c>
      <c r="U28" s="52">
        <v>31327.822094696898</v>
      </c>
      <c r="V28" s="52">
        <v>26830.075019228338</v>
      </c>
      <c r="W28" s="52">
        <v>35511.49456115051</v>
      </c>
      <c r="X28" s="52">
        <v>36661.898775022099</v>
      </c>
      <c r="Y28" s="52">
        <v>33121.480761450235</v>
      </c>
      <c r="Z28" s="52">
        <v>27413.464916478028</v>
      </c>
      <c r="AA28" s="52">
        <v>24457.862653714794</v>
      </c>
      <c r="AB28" s="52">
        <v>22908.896554686158</v>
      </c>
      <c r="AC28" s="52">
        <v>29868.936507735401</v>
      </c>
      <c r="AD28" s="52">
        <v>28870.282007766888</v>
      </c>
      <c r="AE28" s="52">
        <v>31276.368565849421</v>
      </c>
      <c r="AF28" s="52">
        <v>24922.853567528902</v>
      </c>
      <c r="AG28" s="52">
        <v>27804.723661002674</v>
      </c>
      <c r="AH28" s="52">
        <v>27833.423862999043</v>
      </c>
      <c r="AI28" s="52">
        <v>28509.032414003246</v>
      </c>
      <c r="AJ28" s="52">
        <v>29182.356671436297</v>
      </c>
      <c r="AL28" s="47"/>
      <c r="AM28" s="47"/>
      <c r="AN28" s="47"/>
      <c r="AO28" s="47"/>
      <c r="AP28" s="47"/>
      <c r="AQ28" s="47"/>
      <c r="AR28" s="47"/>
      <c r="AS28" s="47"/>
      <c r="AT28" s="47"/>
    </row>
    <row r="29" spans="2:51" ht="12" customHeight="1" x14ac:dyDescent="0.2">
      <c r="B29" s="178" t="s">
        <v>311</v>
      </c>
      <c r="C29" s="179"/>
      <c r="D29" s="52">
        <v>18524.45289</v>
      </c>
      <c r="E29" s="52">
        <v>26559.247230000004</v>
      </c>
      <c r="F29" s="52">
        <v>21899.919409999991</v>
      </c>
      <c r="G29" s="52">
        <v>38961.596740000008</v>
      </c>
      <c r="H29" s="52">
        <v>18777.48962</v>
      </c>
      <c r="I29" s="52">
        <v>17914.332809999996</v>
      </c>
      <c r="J29" s="52">
        <v>20851.621130000007</v>
      </c>
      <c r="K29" s="52">
        <v>30917.36678</v>
      </c>
      <c r="L29" s="52">
        <v>15762.176559999996</v>
      </c>
      <c r="M29" s="52">
        <v>16076.296100000007</v>
      </c>
      <c r="N29" s="52">
        <v>16268.369490000001</v>
      </c>
      <c r="O29" s="52">
        <v>23499.239979999991</v>
      </c>
      <c r="P29" s="52">
        <v>15487.831200000002</v>
      </c>
      <c r="Q29" s="52">
        <v>19669.449439999997</v>
      </c>
      <c r="R29" s="52">
        <v>14235.315310000004</v>
      </c>
      <c r="S29" s="52">
        <v>29629.083529999996</v>
      </c>
      <c r="T29" s="52">
        <v>13054.205400000003</v>
      </c>
      <c r="U29" s="52">
        <v>17015.850749999998</v>
      </c>
      <c r="V29" s="52">
        <v>16049.010620000006</v>
      </c>
      <c r="W29" s="52">
        <v>31075.560869999987</v>
      </c>
      <c r="X29" s="52">
        <v>18177.275839999998</v>
      </c>
      <c r="Y29" s="52">
        <v>20162.336860000003</v>
      </c>
      <c r="Z29" s="52">
        <v>19766.424850000003</v>
      </c>
      <c r="AA29" s="52">
        <v>31667.105679999997</v>
      </c>
      <c r="AB29" s="52">
        <v>16438.094109999998</v>
      </c>
      <c r="AC29" s="52">
        <v>20526.264280000003</v>
      </c>
      <c r="AD29" s="52">
        <v>16675.67585</v>
      </c>
      <c r="AE29" s="52">
        <v>33842.112010000012</v>
      </c>
      <c r="AF29" s="52">
        <v>16230.333040000001</v>
      </c>
      <c r="AG29" s="52">
        <v>23878.264149999995</v>
      </c>
      <c r="AH29" s="52">
        <v>26181.33668</v>
      </c>
      <c r="AI29" s="52">
        <v>66451.339239999987</v>
      </c>
      <c r="AJ29" s="52">
        <f>20927.22286+1</f>
        <v>20928.222860000002</v>
      </c>
      <c r="AL29" s="47"/>
      <c r="AM29" s="47"/>
      <c r="AN29" s="47"/>
      <c r="AO29" s="47"/>
      <c r="AP29" s="47"/>
      <c r="AQ29" s="47"/>
      <c r="AR29" s="47"/>
      <c r="AS29" s="47"/>
      <c r="AT29" s="47"/>
    </row>
    <row r="30" spans="2:51" ht="12" customHeight="1" x14ac:dyDescent="0.2">
      <c r="B30" s="171" t="s">
        <v>261</v>
      </c>
      <c r="C30" s="172"/>
      <c r="D30" s="52"/>
      <c r="E30" s="52"/>
      <c r="F30" s="52"/>
      <c r="G30" s="52"/>
      <c r="H30" s="52">
        <v>1012.0323800000001</v>
      </c>
      <c r="I30" s="52">
        <v>2050.76575</v>
      </c>
      <c r="J30" s="52">
        <v>2711.30447</v>
      </c>
      <c r="K30" s="52">
        <v>3247.6885100000018</v>
      </c>
      <c r="L30" s="52">
        <v>2672.4245999999994</v>
      </c>
      <c r="M30" s="52">
        <v>2339.5721800000001</v>
      </c>
      <c r="N30" s="52">
        <v>2110.3996300000008</v>
      </c>
      <c r="O30" s="52">
        <v>2552.8494000000001</v>
      </c>
      <c r="P30" s="52">
        <v>1688.3600000000001</v>
      </c>
      <c r="Q30" s="52">
        <v>1587.0884699999997</v>
      </c>
      <c r="R30" s="52">
        <v>1559.6920699999996</v>
      </c>
      <c r="S30" s="52">
        <v>1102.8827200000014</v>
      </c>
      <c r="T30" s="52">
        <v>868.23628000000008</v>
      </c>
      <c r="U30" s="52">
        <v>901.15632000000005</v>
      </c>
      <c r="V30" s="52">
        <v>816.89411000000018</v>
      </c>
      <c r="W30" s="52">
        <v>1179.9438999999993</v>
      </c>
      <c r="X30" s="52">
        <v>1287.2891999999999</v>
      </c>
      <c r="Y30" s="52">
        <v>768.34124999999972</v>
      </c>
      <c r="Z30" s="52">
        <v>923.98131000000012</v>
      </c>
      <c r="AA30" s="52">
        <v>1364.6267100000005</v>
      </c>
      <c r="AB30" s="52">
        <v>889.87800000000004</v>
      </c>
      <c r="AC30" s="52">
        <v>1340.4789999999998</v>
      </c>
      <c r="AD30" s="52">
        <v>2492.9355999999998</v>
      </c>
      <c r="AE30" s="52">
        <v>896.74784000000045</v>
      </c>
      <c r="AF30" s="52">
        <v>647.86599999999999</v>
      </c>
      <c r="AG30" s="52">
        <v>885.37799999999993</v>
      </c>
      <c r="AH30" s="52">
        <v>582.36400000000026</v>
      </c>
      <c r="AI30" s="52">
        <v>1753.6080000000002</v>
      </c>
      <c r="AJ30" s="52">
        <v>841.43368000000009</v>
      </c>
      <c r="AL30" s="47"/>
      <c r="AM30" s="47"/>
      <c r="AN30" s="47"/>
      <c r="AO30" s="47"/>
      <c r="AP30" s="47"/>
      <c r="AQ30" s="47"/>
      <c r="AR30" s="47"/>
      <c r="AS30" s="47"/>
      <c r="AT30" s="47"/>
    </row>
    <row r="31" spans="2:51" ht="12" customHeight="1" x14ac:dyDescent="0.2">
      <c r="B31" s="173" t="s">
        <v>262</v>
      </c>
      <c r="C31" s="173"/>
      <c r="D31" s="44">
        <f t="shared" ref="D31:AJ31" si="33">SUM(D27:D30)</f>
        <v>76540.000000000015</v>
      </c>
      <c r="E31" s="44">
        <f t="shared" si="33"/>
        <v>98059.000000000015</v>
      </c>
      <c r="F31" s="44">
        <f t="shared" si="33"/>
        <v>96016</v>
      </c>
      <c r="G31" s="44">
        <f t="shared" si="33"/>
        <v>115307</v>
      </c>
      <c r="H31" s="44">
        <f t="shared" si="33"/>
        <v>95082.724323966002</v>
      </c>
      <c r="I31" s="44">
        <f t="shared" si="33"/>
        <v>90027.575577526019</v>
      </c>
      <c r="J31" s="44">
        <f t="shared" si="33"/>
        <v>94503.354134843161</v>
      </c>
      <c r="K31" s="44">
        <f t="shared" si="33"/>
        <v>97657.148593061545</v>
      </c>
      <c r="L31" s="44">
        <f t="shared" si="33"/>
        <v>83960.94379167931</v>
      </c>
      <c r="M31" s="44">
        <f t="shared" si="33"/>
        <v>119620.71321509515</v>
      </c>
      <c r="N31" s="44">
        <f t="shared" si="33"/>
        <v>132344.4211002404</v>
      </c>
      <c r="O31" s="44">
        <f t="shared" si="33"/>
        <v>108392.99999999997</v>
      </c>
      <c r="P31" s="44">
        <f t="shared" si="33"/>
        <v>84594.873191168022</v>
      </c>
      <c r="Q31" s="44">
        <f t="shared" si="33"/>
        <v>100091.01965537602</v>
      </c>
      <c r="R31" s="44">
        <f t="shared" si="33"/>
        <v>94677.625872920777</v>
      </c>
      <c r="S31" s="44">
        <f t="shared" si="33"/>
        <v>95679.000000000058</v>
      </c>
      <c r="T31" s="44">
        <f t="shared" si="33"/>
        <v>80896.200121063477</v>
      </c>
      <c r="U31" s="44">
        <f t="shared" si="33"/>
        <v>102443.8595702304</v>
      </c>
      <c r="V31" s="44">
        <f t="shared" si="33"/>
        <v>119886.46251067532</v>
      </c>
      <c r="W31" s="44">
        <f t="shared" si="33"/>
        <v>136285</v>
      </c>
      <c r="X31" s="44">
        <f t="shared" si="33"/>
        <v>118739.05886573427</v>
      </c>
      <c r="Y31" s="44">
        <f t="shared" si="33"/>
        <v>114283.06328142047</v>
      </c>
      <c r="Z31" s="44">
        <f t="shared" si="33"/>
        <v>142492.5086279386</v>
      </c>
      <c r="AA31" s="44">
        <f t="shared" si="33"/>
        <v>139463.20300983399</v>
      </c>
      <c r="AB31" s="44">
        <f t="shared" si="33"/>
        <v>134569.48007526284</v>
      </c>
      <c r="AC31" s="44">
        <f t="shared" si="33"/>
        <v>158326.82322488999</v>
      </c>
      <c r="AD31" s="44">
        <f t="shared" si="33"/>
        <v>134345.01849687423</v>
      </c>
      <c r="AE31" s="44">
        <f t="shared" si="33"/>
        <v>152958.41772197155</v>
      </c>
      <c r="AF31" s="44">
        <f t="shared" si="33"/>
        <v>124600.72566154413</v>
      </c>
      <c r="AG31" s="44">
        <f t="shared" si="33"/>
        <v>137655.41299243222</v>
      </c>
      <c r="AH31" s="44">
        <f t="shared" si="33"/>
        <v>148175.01557769868</v>
      </c>
      <c r="AI31" s="44">
        <f t="shared" si="33"/>
        <v>156624.59455262171</v>
      </c>
      <c r="AJ31" s="44">
        <f t="shared" si="33"/>
        <v>141373.92411778899</v>
      </c>
      <c r="AL31" s="47"/>
      <c r="AM31" s="47"/>
      <c r="AN31" s="47"/>
      <c r="AO31" s="47"/>
      <c r="AP31" s="47"/>
      <c r="AQ31" s="47"/>
      <c r="AR31" s="47"/>
      <c r="AS31" s="47"/>
      <c r="AT31" s="47"/>
    </row>
    <row r="32" spans="2:51" ht="12" customHeight="1" x14ac:dyDescent="0.2"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L32" s="47"/>
      <c r="AM32" s="47"/>
      <c r="AN32" s="47"/>
      <c r="AO32" s="47"/>
      <c r="AP32" s="47"/>
      <c r="AQ32" s="47"/>
      <c r="AR32" s="47"/>
      <c r="AS32" s="47"/>
      <c r="AT32" s="47"/>
    </row>
    <row r="33" spans="4:46" ht="12" customHeight="1" x14ac:dyDescent="0.2"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L33" s="47"/>
      <c r="AM33" s="47"/>
      <c r="AN33" s="47"/>
      <c r="AO33" s="47"/>
      <c r="AP33" s="47"/>
      <c r="AQ33" s="47"/>
      <c r="AR33" s="47"/>
      <c r="AS33" s="47"/>
      <c r="AT33" s="47"/>
    </row>
    <row r="34" spans="4:46" ht="12" customHeight="1" x14ac:dyDescent="0.2"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</row>
  </sheetData>
  <mergeCells count="22">
    <mergeCell ref="D25:AE25"/>
    <mergeCell ref="B13:C13"/>
    <mergeCell ref="B14:C14"/>
    <mergeCell ref="B9:C9"/>
    <mergeCell ref="B10:C10"/>
    <mergeCell ref="B11:C11"/>
    <mergeCell ref="AL7:AT7"/>
    <mergeCell ref="B30:C30"/>
    <mergeCell ref="B31:C31"/>
    <mergeCell ref="B28:C28"/>
    <mergeCell ref="B29:C29"/>
    <mergeCell ref="B25:C26"/>
    <mergeCell ref="B27:C27"/>
    <mergeCell ref="B19:C19"/>
    <mergeCell ref="B21:C21"/>
    <mergeCell ref="B16:C16"/>
    <mergeCell ref="B17:C17"/>
    <mergeCell ref="B18:C18"/>
    <mergeCell ref="B7:C8"/>
    <mergeCell ref="B12:C12"/>
    <mergeCell ref="B15:C15"/>
    <mergeCell ref="D7:AE7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559C-5332-4280-B37D-8757C64C68CB}">
  <sheetPr>
    <tabColor theme="0" tint="-0.34998626667073579"/>
  </sheetPr>
  <dimension ref="B1:AZ34"/>
  <sheetViews>
    <sheetView showGridLines="0" zoomScaleNormal="100" zoomScaleSheetLayoutView="100" workbookViewId="0">
      <pane xSplit="3" ySplit="1" topLeftCell="AC5" activePane="bottomRight" state="frozen"/>
      <selection activeCell="Q2" sqref="Q2"/>
      <selection pane="topRight" activeCell="Q2" sqref="Q2"/>
      <selection pane="bottomLeft" activeCell="Q2" sqref="Q2"/>
      <selection pane="bottomRight" activeCell="AJ8" sqref="AJ8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7.7109375" style="54" customWidth="1"/>
    <col min="4" max="42" width="9.28515625" style="46" customWidth="1"/>
    <col min="43" max="16384" width="9.140625" style="46"/>
  </cols>
  <sheetData>
    <row r="1" spans="2:48" s="1" customFormat="1" ht="12" hidden="1" customHeight="1" x14ac:dyDescent="0.2">
      <c r="C1" s="2"/>
    </row>
    <row r="2" spans="2:48" s="1" customFormat="1" ht="12" hidden="1" customHeight="1" x14ac:dyDescent="0.2">
      <c r="C2" s="2"/>
    </row>
    <row r="3" spans="2:48" s="1" customFormat="1" ht="12" hidden="1" customHeight="1" x14ac:dyDescent="0.2">
      <c r="C3" s="2"/>
    </row>
    <row r="4" spans="2:48" s="1" customFormat="1" ht="12" hidden="1" customHeight="1" x14ac:dyDescent="0.2">
      <c r="C4" s="2"/>
    </row>
    <row r="5" spans="2:48" s="1" customFormat="1" ht="12" customHeight="1" x14ac:dyDescent="0.2">
      <c r="C5" s="2"/>
    </row>
    <row r="6" spans="2:48" ht="12" customHeight="1" x14ac:dyDescent="0.2">
      <c r="B6" s="92" t="s">
        <v>257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48" ht="12" customHeight="1" x14ac:dyDescent="0.2">
      <c r="B7" s="174" t="s">
        <v>59</v>
      </c>
      <c r="C7" s="255"/>
      <c r="D7" s="168" t="s">
        <v>121</v>
      </c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70"/>
      <c r="AA7" s="170"/>
      <c r="AB7" s="170"/>
      <c r="AC7" s="170"/>
      <c r="AD7" s="170"/>
      <c r="AE7" s="170"/>
      <c r="AF7" s="162"/>
      <c r="AG7" s="162"/>
      <c r="AH7" s="162"/>
      <c r="AI7" s="162"/>
      <c r="AJ7" s="162"/>
      <c r="AL7" s="182" t="s">
        <v>121</v>
      </c>
      <c r="AM7" s="183"/>
      <c r="AN7" s="183"/>
      <c r="AO7" s="183"/>
      <c r="AP7" s="184"/>
      <c r="AQ7" s="184"/>
      <c r="AR7" s="184"/>
      <c r="AS7" s="184"/>
      <c r="AT7" s="185"/>
    </row>
    <row r="8" spans="2:48" ht="12" customHeight="1" x14ac:dyDescent="0.2">
      <c r="B8" s="176"/>
      <c r="C8" s="177"/>
      <c r="D8" s="4" t="s">
        <v>233</v>
      </c>
      <c r="E8" s="4" t="s">
        <v>234</v>
      </c>
      <c r="F8" s="4" t="s">
        <v>235</v>
      </c>
      <c r="G8" s="4" t="s">
        <v>236</v>
      </c>
      <c r="H8" s="4" t="s">
        <v>237</v>
      </c>
      <c r="I8" s="4" t="s">
        <v>238</v>
      </c>
      <c r="J8" s="4" t="s">
        <v>239</v>
      </c>
      <c r="K8" s="4" t="s">
        <v>240</v>
      </c>
      <c r="L8" s="4" t="s">
        <v>241</v>
      </c>
      <c r="M8" s="4" t="s">
        <v>242</v>
      </c>
      <c r="N8" s="4" t="s">
        <v>243</v>
      </c>
      <c r="O8" s="4" t="s">
        <v>244</v>
      </c>
      <c r="P8" s="4" t="s">
        <v>295</v>
      </c>
      <c r="Q8" s="4" t="s">
        <v>297</v>
      </c>
      <c r="R8" s="4" t="s">
        <v>301</v>
      </c>
      <c r="S8" s="4" t="s">
        <v>306</v>
      </c>
      <c r="T8" s="4" t="s">
        <v>309</v>
      </c>
      <c r="U8" s="4" t="s">
        <v>312</v>
      </c>
      <c r="V8" s="4" t="s">
        <v>315</v>
      </c>
      <c r="W8" s="4" t="s">
        <v>318</v>
      </c>
      <c r="X8" s="4" t="s">
        <v>323</v>
      </c>
      <c r="Y8" s="4" t="s">
        <v>325</v>
      </c>
      <c r="Z8" s="4" t="s">
        <v>328</v>
      </c>
      <c r="AA8" s="4" t="s">
        <v>331</v>
      </c>
      <c r="AB8" s="4" t="s">
        <v>334</v>
      </c>
      <c r="AC8" s="4" t="s">
        <v>336</v>
      </c>
      <c r="AD8" s="4" t="s">
        <v>341</v>
      </c>
      <c r="AE8" s="4" t="s">
        <v>345</v>
      </c>
      <c r="AF8" s="4" t="s">
        <v>355</v>
      </c>
      <c r="AG8" s="4" t="s">
        <v>357</v>
      </c>
      <c r="AH8" s="4" t="s">
        <v>361</v>
      </c>
      <c r="AI8" s="4" t="s">
        <v>364</v>
      </c>
      <c r="AJ8" s="4" t="s">
        <v>367</v>
      </c>
      <c r="AL8" s="88">
        <v>2018</v>
      </c>
      <c r="AM8" s="88">
        <v>2019</v>
      </c>
      <c r="AN8" s="88">
        <v>2020</v>
      </c>
      <c r="AO8" s="88">
        <v>2021</v>
      </c>
      <c r="AP8" s="88">
        <v>2022</v>
      </c>
      <c r="AQ8" s="88">
        <v>2023</v>
      </c>
      <c r="AR8" s="88">
        <v>2024</v>
      </c>
      <c r="AS8" s="88">
        <v>2025</v>
      </c>
      <c r="AT8" s="88">
        <v>2026</v>
      </c>
    </row>
    <row r="9" spans="2:48" ht="12" customHeight="1" x14ac:dyDescent="0.2">
      <c r="B9" s="178" t="s">
        <v>202</v>
      </c>
      <c r="C9" s="179"/>
      <c r="D9" s="52">
        <f>'Segmenty 2018'!O6</f>
        <v>48872</v>
      </c>
      <c r="E9" s="52">
        <f>'Segmenty 2018'!O23</f>
        <v>45297</v>
      </c>
      <c r="F9" s="52">
        <f>'Segmenty 2018'!O40</f>
        <v>40758</v>
      </c>
      <c r="G9" s="52">
        <f>'Segmenty 2018'!O57</f>
        <v>48609</v>
      </c>
      <c r="H9" s="52">
        <f>'Segmenty 2019'!O6</f>
        <v>56702</v>
      </c>
      <c r="I9" s="52">
        <f>'Segmenty 2019'!O23</f>
        <v>54517</v>
      </c>
      <c r="J9" s="52">
        <f>'Segmenty 2019'!O40</f>
        <v>63327</v>
      </c>
      <c r="K9" s="52">
        <f>'Segmenty 2019'!O57</f>
        <v>69001</v>
      </c>
      <c r="L9" s="52">
        <f>'Segmenty 2020'!O6</f>
        <v>80276</v>
      </c>
      <c r="M9" s="52">
        <f>'Segmenty 2020'!O23</f>
        <v>67257</v>
      </c>
      <c r="N9" s="52">
        <f>'Segmenty 2020'!O40</f>
        <v>50857</v>
      </c>
      <c r="O9" s="52">
        <v>52585</v>
      </c>
      <c r="P9" s="52">
        <v>71146</v>
      </c>
      <c r="Q9" s="52">
        <v>64896</v>
      </c>
      <c r="R9" s="52">
        <v>68578</v>
      </c>
      <c r="S9" s="52">
        <v>65007</v>
      </c>
      <c r="T9" s="52">
        <v>75512</v>
      </c>
      <c r="U9" s="52">
        <v>67553</v>
      </c>
      <c r="V9" s="52">
        <v>72086</v>
      </c>
      <c r="W9" s="52">
        <v>66191</v>
      </c>
      <c r="X9" s="52">
        <v>71467</v>
      </c>
      <c r="Y9" s="52">
        <v>61706</v>
      </c>
      <c r="Z9" s="52">
        <v>50323</v>
      </c>
      <c r="AA9" s="52">
        <v>59080</v>
      </c>
      <c r="AB9" s="52">
        <v>73176</v>
      </c>
      <c r="AC9" s="52">
        <v>74657</v>
      </c>
      <c r="AD9" s="52">
        <v>65651</v>
      </c>
      <c r="AE9" s="52">
        <v>60468</v>
      </c>
      <c r="AF9" s="52">
        <v>58420</v>
      </c>
      <c r="AG9" s="52">
        <v>45392</v>
      </c>
      <c r="AH9" s="52">
        <v>54512</v>
      </c>
      <c r="AI9" s="52">
        <v>70026</v>
      </c>
      <c r="AJ9" s="52">
        <v>91825</v>
      </c>
      <c r="AL9" s="52">
        <f>SUM(D9:G9)</f>
        <v>183536</v>
      </c>
      <c r="AM9" s="52">
        <f>SUM(H9:K9)</f>
        <v>243547</v>
      </c>
      <c r="AN9" s="52">
        <f>SUM(L9:O9)</f>
        <v>250975</v>
      </c>
      <c r="AO9" s="52">
        <f>SUM($P9:S9)</f>
        <v>269627</v>
      </c>
      <c r="AP9" s="52">
        <f>SUM($T9:W9)</f>
        <v>281342</v>
      </c>
      <c r="AQ9" s="52">
        <f>SUM($X9:AA9)</f>
        <v>242576</v>
      </c>
      <c r="AR9" s="52">
        <f>SUM(AB9:AE9)</f>
        <v>273952</v>
      </c>
      <c r="AS9" s="52">
        <f>SUM(AF9:AI9)</f>
        <v>228350</v>
      </c>
      <c r="AT9" s="52">
        <f>SUM($AJ9:AJ9)</f>
        <v>91825</v>
      </c>
    </row>
    <row r="10" spans="2:48" ht="12" customHeight="1" x14ac:dyDescent="0.2">
      <c r="B10" s="178" t="s">
        <v>33</v>
      </c>
      <c r="C10" s="179"/>
      <c r="D10" s="52">
        <f>'Segmenty 2018'!O7</f>
        <v>35215</v>
      </c>
      <c r="E10" s="52">
        <f>'Segmenty 2018'!O24</f>
        <v>34922</v>
      </c>
      <c r="F10" s="52">
        <f>'Segmenty 2018'!O41</f>
        <v>32788</v>
      </c>
      <c r="G10" s="52">
        <f>'Segmenty 2018'!O58</f>
        <v>39627</v>
      </c>
      <c r="H10" s="52">
        <f>'Segmenty 2019'!O7</f>
        <v>42503</v>
      </c>
      <c r="I10" s="52">
        <f>'Segmenty 2019'!O24</f>
        <v>42715</v>
      </c>
      <c r="J10" s="52">
        <f>'Segmenty 2019'!O41</f>
        <v>49420</v>
      </c>
      <c r="K10" s="52">
        <f>'Segmenty 2019'!O58</f>
        <v>51429</v>
      </c>
      <c r="L10" s="52">
        <v>60006</v>
      </c>
      <c r="M10" s="52">
        <v>49779</v>
      </c>
      <c r="N10" s="52">
        <v>40435</v>
      </c>
      <c r="O10" s="52">
        <v>45883</v>
      </c>
      <c r="P10" s="52">
        <v>52963</v>
      </c>
      <c r="Q10" s="52">
        <v>51601</v>
      </c>
      <c r="R10" s="52">
        <v>56943</v>
      </c>
      <c r="S10" s="52">
        <v>53917</v>
      </c>
      <c r="T10" s="52">
        <v>60846</v>
      </c>
      <c r="U10" s="52">
        <v>57665</v>
      </c>
      <c r="V10" s="52">
        <v>60770</v>
      </c>
      <c r="W10" s="52">
        <v>56239</v>
      </c>
      <c r="X10" s="52">
        <v>56646</v>
      </c>
      <c r="Y10" s="52">
        <v>53141</v>
      </c>
      <c r="Z10" s="52">
        <v>43546</v>
      </c>
      <c r="AA10" s="52">
        <v>59980</v>
      </c>
      <c r="AB10" s="52">
        <v>60843</v>
      </c>
      <c r="AC10" s="52">
        <v>59409</v>
      </c>
      <c r="AD10" s="52">
        <v>54717</v>
      </c>
      <c r="AE10" s="52">
        <v>49173</v>
      </c>
      <c r="AF10" s="52">
        <v>47360</v>
      </c>
      <c r="AG10" s="52">
        <v>37008</v>
      </c>
      <c r="AH10" s="52">
        <v>46172</v>
      </c>
      <c r="AI10" s="52">
        <v>54198</v>
      </c>
      <c r="AJ10" s="52">
        <v>67061</v>
      </c>
      <c r="AL10" s="52">
        <f>SUM(D10:G10)</f>
        <v>142552</v>
      </c>
      <c r="AM10" s="52">
        <f>SUM(H10:K10)</f>
        <v>186067</v>
      </c>
      <c r="AN10" s="52">
        <f>SUM(L10:O10)</f>
        <v>196103</v>
      </c>
      <c r="AO10" s="52">
        <f>SUM($P10:S10)</f>
        <v>215424</v>
      </c>
      <c r="AP10" s="52">
        <f>SUM($T10:W10)</f>
        <v>235520</v>
      </c>
      <c r="AQ10" s="52">
        <f>SUM($X10:AA10)</f>
        <v>213313</v>
      </c>
      <c r="AR10" s="52">
        <f>SUM(AB10:AE10)</f>
        <v>224142</v>
      </c>
      <c r="AS10" s="52">
        <f>SUM(AF10:AI10)</f>
        <v>184738</v>
      </c>
      <c r="AT10" s="52">
        <f>SUM($AJ10:AJ10)</f>
        <v>67061</v>
      </c>
      <c r="AV10" s="109"/>
    </row>
    <row r="11" spans="2:48" ht="12" customHeight="1" x14ac:dyDescent="0.2">
      <c r="B11" s="173" t="s">
        <v>203</v>
      </c>
      <c r="C11" s="173"/>
      <c r="D11" s="44">
        <f>D9-D10</f>
        <v>13657</v>
      </c>
      <c r="E11" s="44">
        <f t="shared" ref="E11:R11" si="0">E9-E10</f>
        <v>10375</v>
      </c>
      <c r="F11" s="44">
        <f t="shared" si="0"/>
        <v>7970</v>
      </c>
      <c r="G11" s="44">
        <f t="shared" si="0"/>
        <v>8982</v>
      </c>
      <c r="H11" s="44">
        <f t="shared" si="0"/>
        <v>14199</v>
      </c>
      <c r="I11" s="44">
        <f t="shared" si="0"/>
        <v>11802</v>
      </c>
      <c r="J11" s="44">
        <f t="shared" si="0"/>
        <v>13907</v>
      </c>
      <c r="K11" s="44">
        <f t="shared" si="0"/>
        <v>17572</v>
      </c>
      <c r="L11" s="44">
        <f t="shared" si="0"/>
        <v>20270</v>
      </c>
      <c r="M11" s="44">
        <f t="shared" si="0"/>
        <v>17478</v>
      </c>
      <c r="N11" s="44">
        <f t="shared" si="0"/>
        <v>10422</v>
      </c>
      <c r="O11" s="44">
        <f t="shared" si="0"/>
        <v>6702</v>
      </c>
      <c r="P11" s="44">
        <f t="shared" si="0"/>
        <v>18183</v>
      </c>
      <c r="Q11" s="44">
        <f t="shared" si="0"/>
        <v>13295</v>
      </c>
      <c r="R11" s="44">
        <f t="shared" si="0"/>
        <v>11635</v>
      </c>
      <c r="S11" s="44">
        <f t="shared" ref="S11:AJ11" si="1">S9-S10</f>
        <v>11090</v>
      </c>
      <c r="T11" s="44">
        <f t="shared" si="1"/>
        <v>14666</v>
      </c>
      <c r="U11" s="44">
        <f t="shared" si="1"/>
        <v>9888</v>
      </c>
      <c r="V11" s="44">
        <f t="shared" si="1"/>
        <v>11316</v>
      </c>
      <c r="W11" s="44">
        <f t="shared" si="1"/>
        <v>9952</v>
      </c>
      <c r="X11" s="44">
        <f t="shared" si="1"/>
        <v>14821</v>
      </c>
      <c r="Y11" s="44">
        <f t="shared" si="1"/>
        <v>8565</v>
      </c>
      <c r="Z11" s="44">
        <f t="shared" si="1"/>
        <v>6777</v>
      </c>
      <c r="AA11" s="44">
        <f t="shared" si="1"/>
        <v>-900</v>
      </c>
      <c r="AB11" s="44">
        <f t="shared" si="1"/>
        <v>12333</v>
      </c>
      <c r="AC11" s="44">
        <f t="shared" si="1"/>
        <v>15248</v>
      </c>
      <c r="AD11" s="44">
        <f t="shared" si="1"/>
        <v>10934</v>
      </c>
      <c r="AE11" s="44">
        <f t="shared" si="1"/>
        <v>11295</v>
      </c>
      <c r="AF11" s="44">
        <f t="shared" si="1"/>
        <v>11060</v>
      </c>
      <c r="AG11" s="44">
        <f t="shared" si="1"/>
        <v>8384</v>
      </c>
      <c r="AH11" s="44">
        <f t="shared" si="1"/>
        <v>8340</v>
      </c>
      <c r="AI11" s="44">
        <f t="shared" si="1"/>
        <v>15828</v>
      </c>
      <c r="AJ11" s="44">
        <f t="shared" si="1"/>
        <v>24764</v>
      </c>
      <c r="AL11" s="44">
        <f t="shared" ref="AL11:AO11" si="2">AL9-AL10</f>
        <v>40984</v>
      </c>
      <c r="AM11" s="44">
        <f t="shared" si="2"/>
        <v>57480</v>
      </c>
      <c r="AN11" s="44">
        <f t="shared" si="2"/>
        <v>54872</v>
      </c>
      <c r="AO11" s="44">
        <f t="shared" si="2"/>
        <v>54203</v>
      </c>
      <c r="AP11" s="44">
        <f t="shared" ref="AP11:AR11" si="3">AP9-AP10</f>
        <v>45822</v>
      </c>
      <c r="AQ11" s="44">
        <f t="shared" si="3"/>
        <v>29263</v>
      </c>
      <c r="AR11" s="44">
        <f t="shared" si="3"/>
        <v>49810</v>
      </c>
      <c r="AS11" s="44">
        <f t="shared" ref="AS11:AT11" si="4">AS9-AS10</f>
        <v>43612</v>
      </c>
      <c r="AT11" s="44">
        <f t="shared" si="4"/>
        <v>24764</v>
      </c>
      <c r="AV11" s="109"/>
    </row>
    <row r="12" spans="2:48" ht="12" customHeight="1" x14ac:dyDescent="0.2">
      <c r="B12" s="171" t="s">
        <v>4</v>
      </c>
      <c r="C12" s="172"/>
      <c r="D12" s="52">
        <f>'Segmenty 2018'!O9</f>
        <v>1170</v>
      </c>
      <c r="E12" s="52">
        <f>'Segmenty 2018'!O26</f>
        <v>1478</v>
      </c>
      <c r="F12" s="52">
        <f>'Segmenty 2018'!O43</f>
        <v>1691</v>
      </c>
      <c r="G12" s="52">
        <f>'Segmenty 2018'!O60</f>
        <v>1564</v>
      </c>
      <c r="H12" s="52">
        <f>'Segmenty 2019'!O9</f>
        <v>1265</v>
      </c>
      <c r="I12" s="52">
        <f>'Segmenty 2019'!O26</f>
        <v>1572</v>
      </c>
      <c r="J12" s="52">
        <f>'Segmenty 2019'!O43</f>
        <v>1601</v>
      </c>
      <c r="K12" s="52">
        <f>'Segmenty 2019'!O60</f>
        <v>1980</v>
      </c>
      <c r="L12" s="52">
        <f>'Segmenty 2020'!O9</f>
        <v>1614</v>
      </c>
      <c r="M12" s="52">
        <f>'Segmenty 2020'!O26</f>
        <v>1666</v>
      </c>
      <c r="N12" s="52">
        <v>1105</v>
      </c>
      <c r="O12" s="52">
        <v>1108</v>
      </c>
      <c r="P12" s="52">
        <v>1886</v>
      </c>
      <c r="Q12" s="52">
        <v>2051</v>
      </c>
      <c r="R12" s="52">
        <v>1958</v>
      </c>
      <c r="S12" s="52">
        <v>3086</v>
      </c>
      <c r="T12" s="52">
        <v>2081</v>
      </c>
      <c r="U12" s="52">
        <v>2122</v>
      </c>
      <c r="V12" s="52">
        <v>2363</v>
      </c>
      <c r="W12" s="52">
        <v>2242</v>
      </c>
      <c r="X12" s="52">
        <v>2211</v>
      </c>
      <c r="Y12" s="52">
        <v>1799</v>
      </c>
      <c r="Z12" s="52">
        <v>1449</v>
      </c>
      <c r="AA12" s="52">
        <v>1370</v>
      </c>
      <c r="AB12" s="52">
        <v>1616</v>
      </c>
      <c r="AC12" s="52">
        <v>1698</v>
      </c>
      <c r="AD12" s="52">
        <v>1291</v>
      </c>
      <c r="AE12" s="52">
        <v>1761</v>
      </c>
      <c r="AF12" s="52">
        <v>1617</v>
      </c>
      <c r="AG12" s="52">
        <v>1349</v>
      </c>
      <c r="AH12" s="52">
        <v>1292</v>
      </c>
      <c r="AI12" s="52">
        <v>1789</v>
      </c>
      <c r="AJ12" s="52">
        <v>2208</v>
      </c>
      <c r="AL12" s="52">
        <f t="shared" ref="AL12:AL13" si="5">SUM(D12:G12)</f>
        <v>5903</v>
      </c>
      <c r="AM12" s="52">
        <f t="shared" ref="AM12:AM13" si="6">SUM(H12:K12)</f>
        <v>6418</v>
      </c>
      <c r="AN12" s="52">
        <f t="shared" ref="AN12:AN13" si="7">SUM(L12:O12)</f>
        <v>5493</v>
      </c>
      <c r="AO12" s="52">
        <f>SUM($P12:S12)</f>
        <v>8981</v>
      </c>
      <c r="AP12" s="52">
        <f>SUM($T12:W12)</f>
        <v>8808</v>
      </c>
      <c r="AQ12" s="52">
        <f>SUM($X12:AA12)</f>
        <v>6829</v>
      </c>
      <c r="AR12" s="52">
        <f>SUM(AB12:AE12)</f>
        <v>6366</v>
      </c>
      <c r="AS12" s="52">
        <f>SUM(AF12:AI12)</f>
        <v>6047</v>
      </c>
      <c r="AT12" s="52">
        <f>SUM($AJ12:AJ12)</f>
        <v>2208</v>
      </c>
      <c r="AV12" s="109"/>
    </row>
    <row r="13" spans="2:48" ht="12" customHeight="1" x14ac:dyDescent="0.2">
      <c r="B13" s="171" t="s">
        <v>5</v>
      </c>
      <c r="C13" s="172"/>
      <c r="D13" s="52">
        <f>'Segmenty 2018'!O10</f>
        <v>6642</v>
      </c>
      <c r="E13" s="52">
        <f>'Segmenty 2018'!O27</f>
        <v>4752</v>
      </c>
      <c r="F13" s="52">
        <f>'Segmenty 2018'!O44</f>
        <v>5418</v>
      </c>
      <c r="G13" s="52">
        <f>'Segmenty 2018'!O61</f>
        <v>5311</v>
      </c>
      <c r="H13" s="52">
        <f>'Segmenty 2019'!O10</f>
        <v>6467</v>
      </c>
      <c r="I13" s="52">
        <f>'Segmenty 2019'!O27</f>
        <v>5810</v>
      </c>
      <c r="J13" s="52">
        <f>'Segmenty 2019'!O44</f>
        <v>6331</v>
      </c>
      <c r="K13" s="52">
        <f>'Segmenty 2019'!O61</f>
        <v>6205</v>
      </c>
      <c r="L13" s="52">
        <f>'Segmenty 2020'!O10</f>
        <v>7516</v>
      </c>
      <c r="M13" s="52">
        <f>'Segmenty 2020'!O27</f>
        <v>6470</v>
      </c>
      <c r="N13" s="52">
        <v>6359</v>
      </c>
      <c r="O13" s="52">
        <f>6204+1</f>
        <v>6205</v>
      </c>
      <c r="P13" s="52">
        <v>7542</v>
      </c>
      <c r="Q13" s="52">
        <v>6656</v>
      </c>
      <c r="R13" s="52">
        <v>6059</v>
      </c>
      <c r="S13" s="52">
        <v>6303</v>
      </c>
      <c r="T13" s="52">
        <v>7973</v>
      </c>
      <c r="U13" s="52">
        <v>7003</v>
      </c>
      <c r="V13" s="52">
        <v>6673</v>
      </c>
      <c r="W13" s="52">
        <v>6376</v>
      </c>
      <c r="X13" s="52">
        <v>8574</v>
      </c>
      <c r="Y13" s="52">
        <v>7382</v>
      </c>
      <c r="Z13" s="52">
        <v>7753</v>
      </c>
      <c r="AA13" s="52">
        <v>7570</v>
      </c>
      <c r="AB13" s="52">
        <v>7990</v>
      </c>
      <c r="AC13" s="52">
        <v>7450</v>
      </c>
      <c r="AD13" s="52">
        <v>6786</v>
      </c>
      <c r="AE13" s="52">
        <v>7285</v>
      </c>
      <c r="AF13" s="52">
        <v>6529</v>
      </c>
      <c r="AG13" s="52">
        <v>5668</v>
      </c>
      <c r="AH13" s="52">
        <v>5817</v>
      </c>
      <c r="AI13" s="52">
        <v>9459</v>
      </c>
      <c r="AJ13" s="52">
        <v>7249</v>
      </c>
      <c r="AL13" s="52">
        <f t="shared" si="5"/>
        <v>22123</v>
      </c>
      <c r="AM13" s="52">
        <f t="shared" si="6"/>
        <v>24813</v>
      </c>
      <c r="AN13" s="52">
        <f t="shared" si="7"/>
        <v>26550</v>
      </c>
      <c r="AO13" s="52">
        <f>SUM($P13:S13)</f>
        <v>26560</v>
      </c>
      <c r="AP13" s="52">
        <f>SUM($T13:W13)</f>
        <v>28025</v>
      </c>
      <c r="AQ13" s="52">
        <f>SUM($X13:AA13)</f>
        <v>31279</v>
      </c>
      <c r="AR13" s="52">
        <f>SUM(AB13:AE13)</f>
        <v>29511</v>
      </c>
      <c r="AS13" s="52">
        <f>SUM(AF13:AI13)</f>
        <v>27473</v>
      </c>
      <c r="AT13" s="52">
        <f>SUM($AJ13:AJ13)</f>
        <v>7249</v>
      </c>
      <c r="AV13" s="109"/>
    </row>
    <row r="14" spans="2:48" ht="12" customHeight="1" x14ac:dyDescent="0.2">
      <c r="B14" s="173" t="s">
        <v>204</v>
      </c>
      <c r="C14" s="173"/>
      <c r="D14" s="44">
        <f>D11-D12-D13</f>
        <v>5845</v>
      </c>
      <c r="E14" s="44">
        <f t="shared" ref="E14:R14" si="8">E11-E12-E13</f>
        <v>4145</v>
      </c>
      <c r="F14" s="44">
        <f t="shared" si="8"/>
        <v>861</v>
      </c>
      <c r="G14" s="44">
        <f t="shared" si="8"/>
        <v>2107</v>
      </c>
      <c r="H14" s="44">
        <f t="shared" si="8"/>
        <v>6467</v>
      </c>
      <c r="I14" s="44">
        <f t="shared" si="8"/>
        <v>4420</v>
      </c>
      <c r="J14" s="44">
        <f t="shared" si="8"/>
        <v>5975</v>
      </c>
      <c r="K14" s="44">
        <f t="shared" si="8"/>
        <v>9387</v>
      </c>
      <c r="L14" s="44">
        <f t="shared" si="8"/>
        <v>11140</v>
      </c>
      <c r="M14" s="44">
        <f t="shared" si="8"/>
        <v>9342</v>
      </c>
      <c r="N14" s="44">
        <f t="shared" si="8"/>
        <v>2958</v>
      </c>
      <c r="O14" s="44">
        <f t="shared" si="8"/>
        <v>-611</v>
      </c>
      <c r="P14" s="44">
        <f t="shared" si="8"/>
        <v>8755</v>
      </c>
      <c r="Q14" s="44">
        <f t="shared" si="8"/>
        <v>4588</v>
      </c>
      <c r="R14" s="44">
        <f t="shared" si="8"/>
        <v>3618</v>
      </c>
      <c r="S14" s="44">
        <f t="shared" ref="S14:AJ14" si="9">S11-S12-S13</f>
        <v>1701</v>
      </c>
      <c r="T14" s="44">
        <f t="shared" si="9"/>
        <v>4612</v>
      </c>
      <c r="U14" s="44">
        <f t="shared" si="9"/>
        <v>763</v>
      </c>
      <c r="V14" s="44">
        <f t="shared" si="9"/>
        <v>2280</v>
      </c>
      <c r="W14" s="44">
        <f t="shared" si="9"/>
        <v>1334</v>
      </c>
      <c r="X14" s="44">
        <f t="shared" si="9"/>
        <v>4036</v>
      </c>
      <c r="Y14" s="44">
        <f t="shared" si="9"/>
        <v>-616</v>
      </c>
      <c r="Z14" s="44">
        <f t="shared" si="9"/>
        <v>-2425</v>
      </c>
      <c r="AA14" s="44">
        <f t="shared" si="9"/>
        <v>-9840</v>
      </c>
      <c r="AB14" s="44">
        <f t="shared" si="9"/>
        <v>2727</v>
      </c>
      <c r="AC14" s="44">
        <f t="shared" si="9"/>
        <v>6100</v>
      </c>
      <c r="AD14" s="44">
        <f t="shared" si="9"/>
        <v>2857</v>
      </c>
      <c r="AE14" s="44">
        <f t="shared" si="9"/>
        <v>2249</v>
      </c>
      <c r="AF14" s="44">
        <f t="shared" si="9"/>
        <v>2914</v>
      </c>
      <c r="AG14" s="44">
        <f t="shared" si="9"/>
        <v>1367</v>
      </c>
      <c r="AH14" s="44">
        <f t="shared" si="9"/>
        <v>1231</v>
      </c>
      <c r="AI14" s="44">
        <f t="shared" si="9"/>
        <v>4580</v>
      </c>
      <c r="AJ14" s="44">
        <f t="shared" si="9"/>
        <v>15307</v>
      </c>
      <c r="AL14" s="44">
        <f t="shared" ref="AL14:AO14" si="10">AL11-AL12-AL13</f>
        <v>12958</v>
      </c>
      <c r="AM14" s="44">
        <f t="shared" si="10"/>
        <v>26249</v>
      </c>
      <c r="AN14" s="44">
        <f t="shared" si="10"/>
        <v>22829</v>
      </c>
      <c r="AO14" s="44">
        <f t="shared" si="10"/>
        <v>18662</v>
      </c>
      <c r="AP14" s="44">
        <f t="shared" ref="AP14:AR14" si="11">AP11-AP12-AP13</f>
        <v>8989</v>
      </c>
      <c r="AQ14" s="44">
        <f t="shared" si="11"/>
        <v>-8845</v>
      </c>
      <c r="AR14" s="44">
        <f t="shared" si="11"/>
        <v>13933</v>
      </c>
      <c r="AS14" s="44">
        <f t="shared" ref="AS14:AT14" si="12">AS11-AS12-AS13</f>
        <v>10092</v>
      </c>
      <c r="AT14" s="44">
        <f t="shared" si="12"/>
        <v>15307</v>
      </c>
      <c r="AV14" s="109"/>
    </row>
    <row r="15" spans="2:48" ht="12" customHeight="1" x14ac:dyDescent="0.2">
      <c r="B15" s="171" t="s">
        <v>350</v>
      </c>
      <c r="C15" s="17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>
        <v>-1697</v>
      </c>
      <c r="AB15" s="52"/>
      <c r="AC15" s="52"/>
      <c r="AD15" s="52"/>
      <c r="AE15" s="52">
        <v>-775</v>
      </c>
      <c r="AF15" s="52">
        <v>-161</v>
      </c>
      <c r="AG15" s="52">
        <v>0</v>
      </c>
      <c r="AH15" s="52">
        <v>0</v>
      </c>
      <c r="AI15" s="52">
        <v>0</v>
      </c>
      <c r="AJ15" s="52">
        <v>0</v>
      </c>
      <c r="AL15" s="52"/>
      <c r="AM15" s="52"/>
      <c r="AN15" s="52"/>
      <c r="AO15" s="52"/>
      <c r="AP15" s="52"/>
      <c r="AQ15" s="52">
        <f>SUM(X15:AA15)</f>
        <v>-1697</v>
      </c>
      <c r="AR15" s="52">
        <f>SUM(AB15:AE15)</f>
        <v>-775</v>
      </c>
      <c r="AS15" s="52">
        <f>SUM(AF15:AI15)</f>
        <v>-161</v>
      </c>
      <c r="AT15" s="52">
        <f>SUM($AJ15:AJ15)</f>
        <v>0</v>
      </c>
      <c r="AV15" s="109"/>
    </row>
    <row r="16" spans="2:48" ht="12" customHeight="1" x14ac:dyDescent="0.2">
      <c r="B16" s="171" t="s">
        <v>205</v>
      </c>
      <c r="C16" s="172"/>
      <c r="D16" s="52">
        <f>'Segmenty 2018'!O12</f>
        <v>-92</v>
      </c>
      <c r="E16" s="52">
        <f>'Segmenty 2018'!O29</f>
        <v>113</v>
      </c>
      <c r="F16" s="52">
        <f>'Segmenty 2018'!O46</f>
        <v>130</v>
      </c>
      <c r="G16" s="52">
        <f>'Segmenty 2018'!O63</f>
        <v>438</v>
      </c>
      <c r="H16" s="52">
        <f>'Segmenty 2019'!O12</f>
        <v>-76</v>
      </c>
      <c r="I16" s="52">
        <f>'Segmenty 2019'!O29</f>
        <v>40</v>
      </c>
      <c r="J16" s="52">
        <f>'Segmenty 2019'!O46</f>
        <v>1833</v>
      </c>
      <c r="K16" s="52">
        <f>'Segmenty 2019'!O63</f>
        <v>167</v>
      </c>
      <c r="L16" s="52">
        <v>13</v>
      </c>
      <c r="M16" s="52">
        <v>-35</v>
      </c>
      <c r="N16" s="52">
        <v>-212</v>
      </c>
      <c r="O16" s="52">
        <v>-183</v>
      </c>
      <c r="P16" s="52">
        <v>937</v>
      </c>
      <c r="Q16" s="52">
        <v>71</v>
      </c>
      <c r="R16" s="52">
        <v>1104</v>
      </c>
      <c r="S16" s="52">
        <v>147</v>
      </c>
      <c r="T16" s="52">
        <v>116</v>
      </c>
      <c r="U16" s="52">
        <v>23</v>
      </c>
      <c r="V16" s="52">
        <v>-10858</v>
      </c>
      <c r="W16" s="52">
        <v>-3713</v>
      </c>
      <c r="X16" s="52">
        <v>3</v>
      </c>
      <c r="Y16" s="52">
        <v>-10</v>
      </c>
      <c r="Z16" s="52">
        <v>5</v>
      </c>
      <c r="AA16" s="52">
        <v>-12875</v>
      </c>
      <c r="AB16" s="52">
        <v>4</v>
      </c>
      <c r="AC16" s="52">
        <v>-4271</v>
      </c>
      <c r="AD16" s="52">
        <v>-3477</v>
      </c>
      <c r="AE16" s="52">
        <v>-3141</v>
      </c>
      <c r="AF16" s="52">
        <v>37</v>
      </c>
      <c r="AG16" s="52">
        <v>50</v>
      </c>
      <c r="AH16" s="52">
        <v>-11</v>
      </c>
      <c r="AI16" s="52">
        <v>372</v>
      </c>
      <c r="AJ16" s="52">
        <v>-4013</v>
      </c>
      <c r="AL16" s="52">
        <f t="shared" ref="AL16:AL18" si="13">SUM(D16:G16)</f>
        <v>589</v>
      </c>
      <c r="AM16" s="52">
        <f t="shared" ref="AM16:AM18" si="14">SUM(H16:K16)</f>
        <v>1964</v>
      </c>
      <c r="AN16" s="52">
        <f t="shared" ref="AN16:AN18" si="15">SUM(L16:O16)</f>
        <v>-417</v>
      </c>
      <c r="AO16" s="52">
        <f>SUM($P16:S16)</f>
        <v>2259</v>
      </c>
      <c r="AP16" s="52">
        <f>SUM($T16:W16)</f>
        <v>-14432</v>
      </c>
      <c r="AQ16" s="52">
        <f>SUM($X16:AA16)</f>
        <v>-12877</v>
      </c>
      <c r="AR16" s="52">
        <f>SUM(AB16:AE16)</f>
        <v>-10885</v>
      </c>
      <c r="AS16" s="52">
        <f>SUM(AF16:AI16)</f>
        <v>448</v>
      </c>
      <c r="AT16" s="52">
        <f>SUM($AJ16:AJ16)</f>
        <v>-4013</v>
      </c>
      <c r="AV16" s="109"/>
    </row>
    <row r="17" spans="2:52" ht="12" customHeight="1" x14ac:dyDescent="0.2">
      <c r="B17" s="180" t="s">
        <v>206</v>
      </c>
      <c r="C17" s="181"/>
      <c r="D17" s="52">
        <f>'Segmenty 2018'!O13</f>
        <v>0</v>
      </c>
      <c r="E17" s="52">
        <f>'Segmenty 2018'!O30</f>
        <v>13</v>
      </c>
      <c r="F17" s="52">
        <f>'Segmenty 2018'!O47</f>
        <v>0</v>
      </c>
      <c r="G17" s="52">
        <f>'Segmenty 2018'!O64</f>
        <v>9</v>
      </c>
      <c r="H17" s="52">
        <f>'Segmenty 2019'!O13</f>
        <v>0</v>
      </c>
      <c r="I17" s="52">
        <f>'Segmenty 2019'!O30</f>
        <v>0</v>
      </c>
      <c r="J17" s="52">
        <f>'Segmenty 2019'!O47</f>
        <v>0</v>
      </c>
      <c r="K17" s="52">
        <f>'Segmenty 2019'!O64</f>
        <v>-277</v>
      </c>
      <c r="L17" s="52">
        <f>'Segmenty 2020'!O13</f>
        <v>0</v>
      </c>
      <c r="M17" s="52">
        <f>'Segmenty 2020'!O30</f>
        <v>0</v>
      </c>
      <c r="N17" s="52">
        <f>'Segmenty 2020'!O47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0</v>
      </c>
      <c r="AL17" s="52">
        <f t="shared" si="13"/>
        <v>22</v>
      </c>
      <c r="AM17" s="52">
        <f t="shared" si="14"/>
        <v>-277</v>
      </c>
      <c r="AN17" s="52">
        <f t="shared" si="15"/>
        <v>0</v>
      </c>
      <c r="AO17" s="52">
        <f>SUM($P17:S17)</f>
        <v>0</v>
      </c>
      <c r="AP17" s="52">
        <f>SUM($T17:W17)</f>
        <v>0</v>
      </c>
      <c r="AQ17" s="52">
        <f>SUM($X17:AA17)</f>
        <v>0</v>
      </c>
      <c r="AR17" s="52">
        <f>SUM(AB17:AE17)</f>
        <v>0</v>
      </c>
      <c r="AS17" s="52">
        <f>SUM(AF17:AI17)</f>
        <v>0</v>
      </c>
      <c r="AT17" s="52">
        <f>SUM($AJ17:AJ17)</f>
        <v>0</v>
      </c>
      <c r="AV17" s="109"/>
    </row>
    <row r="18" spans="2:52" ht="12" customHeight="1" x14ac:dyDescent="0.2">
      <c r="B18" s="180" t="s">
        <v>27</v>
      </c>
      <c r="C18" s="181"/>
      <c r="D18" s="52">
        <f>'Segmenty 2018'!O14</f>
        <v>0</v>
      </c>
      <c r="E18" s="52">
        <f>'Segmenty 2018'!O31</f>
        <v>0</v>
      </c>
      <c r="F18" s="52">
        <f>'Segmenty 2018'!O48</f>
        <v>0</v>
      </c>
      <c r="G18" s="52">
        <f>'Segmenty 2018'!O65</f>
        <v>0</v>
      </c>
      <c r="H18" s="52">
        <f>'Segmenty 2019'!O14</f>
        <v>0</v>
      </c>
      <c r="I18" s="52">
        <f>'Segmenty 2019'!O31</f>
        <v>0</v>
      </c>
      <c r="J18" s="52">
        <f>'Segmenty 2019'!O48</f>
        <v>0</v>
      </c>
      <c r="K18" s="52">
        <f>'Segmenty 2019'!O65</f>
        <v>0</v>
      </c>
      <c r="L18" s="52">
        <f>'Segmenty 2020'!O14</f>
        <v>0</v>
      </c>
      <c r="M18" s="52">
        <f>'Segmenty 2020'!O31</f>
        <v>0</v>
      </c>
      <c r="N18" s="52">
        <f>'Segmenty 2020'!O48</f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L18" s="52">
        <f t="shared" si="13"/>
        <v>0</v>
      </c>
      <c r="AM18" s="52">
        <f t="shared" si="14"/>
        <v>0</v>
      </c>
      <c r="AN18" s="52">
        <f t="shared" si="15"/>
        <v>0</v>
      </c>
      <c r="AO18" s="52">
        <f>SUM($P18:S18)</f>
        <v>0</v>
      </c>
      <c r="AP18" s="52">
        <f>SUM($T18:W18)</f>
        <v>0</v>
      </c>
      <c r="AQ18" s="52">
        <f>SUM($X18:AA18)</f>
        <v>0</v>
      </c>
      <c r="AR18" s="52">
        <f>SUM(AB18:AE18)</f>
        <v>0</v>
      </c>
      <c r="AS18" s="52">
        <f>SUM(AF18:AI18)</f>
        <v>0</v>
      </c>
      <c r="AT18" s="52">
        <f>SUM($AJ18:AJ18)</f>
        <v>0</v>
      </c>
      <c r="AV18" s="109"/>
    </row>
    <row r="19" spans="2:52" ht="12" customHeight="1" x14ac:dyDescent="0.2">
      <c r="B19" s="173" t="s">
        <v>207</v>
      </c>
      <c r="C19" s="173"/>
      <c r="D19" s="44">
        <f t="shared" ref="D19:AD19" si="16">D14+D15+D16+D17+D18</f>
        <v>5753</v>
      </c>
      <c r="E19" s="44">
        <f t="shared" si="16"/>
        <v>4271</v>
      </c>
      <c r="F19" s="44">
        <f t="shared" si="16"/>
        <v>991</v>
      </c>
      <c r="G19" s="44">
        <f t="shared" si="16"/>
        <v>2554</v>
      </c>
      <c r="H19" s="44">
        <f t="shared" si="16"/>
        <v>6391</v>
      </c>
      <c r="I19" s="44">
        <f t="shared" si="16"/>
        <v>4460</v>
      </c>
      <c r="J19" s="44">
        <f t="shared" si="16"/>
        <v>7808</v>
      </c>
      <c r="K19" s="44">
        <f t="shared" si="16"/>
        <v>9277</v>
      </c>
      <c r="L19" s="44">
        <f t="shared" si="16"/>
        <v>11153</v>
      </c>
      <c r="M19" s="44">
        <f t="shared" si="16"/>
        <v>9307</v>
      </c>
      <c r="N19" s="44">
        <f t="shared" si="16"/>
        <v>2746</v>
      </c>
      <c r="O19" s="44">
        <f t="shared" si="16"/>
        <v>-794</v>
      </c>
      <c r="P19" s="44">
        <f t="shared" si="16"/>
        <v>9692</v>
      </c>
      <c r="Q19" s="44">
        <f t="shared" si="16"/>
        <v>4659</v>
      </c>
      <c r="R19" s="44">
        <f t="shared" si="16"/>
        <v>4722</v>
      </c>
      <c r="S19" s="44">
        <f t="shared" si="16"/>
        <v>1848</v>
      </c>
      <c r="T19" s="44">
        <f t="shared" si="16"/>
        <v>4728</v>
      </c>
      <c r="U19" s="44">
        <f t="shared" si="16"/>
        <v>786</v>
      </c>
      <c r="V19" s="44">
        <f t="shared" si="16"/>
        <v>-8578</v>
      </c>
      <c r="W19" s="44">
        <f t="shared" si="16"/>
        <v>-2379</v>
      </c>
      <c r="X19" s="44">
        <f t="shared" si="16"/>
        <v>4039</v>
      </c>
      <c r="Y19" s="44">
        <f t="shared" si="16"/>
        <v>-626</v>
      </c>
      <c r="Z19" s="44">
        <f t="shared" si="16"/>
        <v>-2420</v>
      </c>
      <c r="AA19" s="44">
        <f t="shared" si="16"/>
        <v>-24412</v>
      </c>
      <c r="AB19" s="44">
        <f t="shared" si="16"/>
        <v>2731</v>
      </c>
      <c r="AC19" s="44">
        <f t="shared" si="16"/>
        <v>1829</v>
      </c>
      <c r="AD19" s="44">
        <f t="shared" si="16"/>
        <v>-620</v>
      </c>
      <c r="AE19" s="44">
        <f t="shared" ref="AE19:AJ19" si="17">AE14+AE15+AE16+AE17+AE18</f>
        <v>-1667</v>
      </c>
      <c r="AF19" s="44">
        <f t="shared" si="17"/>
        <v>2790</v>
      </c>
      <c r="AG19" s="44">
        <f t="shared" si="17"/>
        <v>1417</v>
      </c>
      <c r="AH19" s="44">
        <f t="shared" si="17"/>
        <v>1220</v>
      </c>
      <c r="AI19" s="44">
        <f t="shared" si="17"/>
        <v>4952</v>
      </c>
      <c r="AJ19" s="44">
        <f t="shared" si="17"/>
        <v>11294</v>
      </c>
      <c r="AL19" s="44">
        <f t="shared" ref="AL19:AR19" si="18">AL14+AL15+AL16+AL17+AL18</f>
        <v>13569</v>
      </c>
      <c r="AM19" s="44">
        <f t="shared" si="18"/>
        <v>27936</v>
      </c>
      <c r="AN19" s="44">
        <f t="shared" si="18"/>
        <v>22412</v>
      </c>
      <c r="AO19" s="44">
        <f t="shared" si="18"/>
        <v>20921</v>
      </c>
      <c r="AP19" s="44">
        <f t="shared" si="18"/>
        <v>-5443</v>
      </c>
      <c r="AQ19" s="44">
        <f t="shared" si="18"/>
        <v>-23419</v>
      </c>
      <c r="AR19" s="44">
        <f t="shared" si="18"/>
        <v>2273</v>
      </c>
      <c r="AS19" s="44">
        <f t="shared" ref="AS19:AT19" si="19">AS14+AS15+AS16+AS17+AS18</f>
        <v>10379</v>
      </c>
      <c r="AT19" s="44">
        <f t="shared" si="19"/>
        <v>11294</v>
      </c>
      <c r="AV19" s="109"/>
    </row>
    <row r="20" spans="2:52" ht="12" customHeight="1" x14ac:dyDescent="0.2">
      <c r="B20" s="89" t="s">
        <v>22</v>
      </c>
      <c r="C20" s="76"/>
      <c r="D20" s="52">
        <f>'Segmenty 2018'!O16</f>
        <v>2923</v>
      </c>
      <c r="E20" s="52">
        <f>'Segmenty 2018'!O33</f>
        <v>3140</v>
      </c>
      <c r="F20" s="52">
        <f>'Segmenty 2018'!O50</f>
        <v>3126</v>
      </c>
      <c r="G20" s="52">
        <f>'Segmenty 2018'!O67</f>
        <v>3171</v>
      </c>
      <c r="H20" s="52">
        <f>'Segmenty 2019'!O16</f>
        <v>3369</v>
      </c>
      <c r="I20" s="52">
        <f>'Segmenty 2019'!O33</f>
        <v>4522</v>
      </c>
      <c r="J20" s="52">
        <f>'Segmenty 2019'!O50</f>
        <v>3806</v>
      </c>
      <c r="K20" s="52">
        <f>'Segmenty 2019'!O67</f>
        <v>3718</v>
      </c>
      <c r="L20" s="52">
        <f>'Segmenty 2020'!O16</f>
        <v>3751</v>
      </c>
      <c r="M20" s="52">
        <f>'Segmenty 2020'!O33</f>
        <v>3917</v>
      </c>
      <c r="N20" s="52">
        <v>4110</v>
      </c>
      <c r="O20" s="52">
        <v>3817</v>
      </c>
      <c r="P20" s="52">
        <v>4334</v>
      </c>
      <c r="Q20" s="52">
        <v>4253</v>
      </c>
      <c r="R20" s="52">
        <v>4343</v>
      </c>
      <c r="S20" s="52">
        <v>4350</v>
      </c>
      <c r="T20" s="52">
        <v>4030</v>
      </c>
      <c r="U20" s="52">
        <v>4039</v>
      </c>
      <c r="V20" s="52">
        <v>3243</v>
      </c>
      <c r="W20" s="52">
        <v>2857</v>
      </c>
      <c r="X20" s="52">
        <v>3146</v>
      </c>
      <c r="Y20" s="52">
        <v>3063</v>
      </c>
      <c r="Z20" s="52">
        <v>3116</v>
      </c>
      <c r="AA20" s="52">
        <v>2943</v>
      </c>
      <c r="AB20" s="52">
        <v>2764</v>
      </c>
      <c r="AC20" s="52">
        <v>2595</v>
      </c>
      <c r="AD20" s="52">
        <v>2664</v>
      </c>
      <c r="AE20" s="52">
        <v>2749</v>
      </c>
      <c r="AF20" s="52">
        <v>2407</v>
      </c>
      <c r="AG20" s="52">
        <v>2228</v>
      </c>
      <c r="AH20" s="52">
        <v>2227</v>
      </c>
      <c r="AI20" s="52">
        <v>2502</v>
      </c>
      <c r="AJ20" s="52">
        <v>2700</v>
      </c>
      <c r="AL20" s="52">
        <f>SUM(D20:G20)</f>
        <v>12360</v>
      </c>
      <c r="AM20" s="52">
        <f>SUM(H20:K20)</f>
        <v>15415</v>
      </c>
      <c r="AN20" s="52">
        <f>SUM(L20:O20)</f>
        <v>15595</v>
      </c>
      <c r="AO20" s="52">
        <f>SUM($P20:S20)</f>
        <v>17280</v>
      </c>
      <c r="AP20" s="52">
        <f>SUM($T20:W20)</f>
        <v>14169</v>
      </c>
      <c r="AQ20" s="52">
        <f>SUM($X20:AA20)</f>
        <v>12268</v>
      </c>
      <c r="AR20" s="52">
        <f>SUM(AB20:AE20)</f>
        <v>10772</v>
      </c>
      <c r="AS20" s="52">
        <f>SUM(AF20:AI20)</f>
        <v>9364</v>
      </c>
      <c r="AT20" s="52">
        <f>SUM($AJ20:AJ20)</f>
        <v>2700</v>
      </c>
      <c r="AV20" s="109"/>
    </row>
    <row r="21" spans="2:52" ht="12" customHeight="1" x14ac:dyDescent="0.2">
      <c r="B21" s="173" t="s">
        <v>23</v>
      </c>
      <c r="C21" s="173"/>
      <c r="D21" s="44">
        <f>D19+D20</f>
        <v>8676</v>
      </c>
      <c r="E21" s="44">
        <f t="shared" ref="E21:R21" si="20">E19+E20</f>
        <v>7411</v>
      </c>
      <c r="F21" s="44">
        <f t="shared" si="20"/>
        <v>4117</v>
      </c>
      <c r="G21" s="44">
        <f t="shared" si="20"/>
        <v>5725</v>
      </c>
      <c r="H21" s="44">
        <f t="shared" si="20"/>
        <v>9760</v>
      </c>
      <c r="I21" s="44">
        <f t="shared" si="20"/>
        <v>8982</v>
      </c>
      <c r="J21" s="44">
        <f t="shared" si="20"/>
        <v>11614</v>
      </c>
      <c r="K21" s="44">
        <f t="shared" si="20"/>
        <v>12995</v>
      </c>
      <c r="L21" s="44">
        <f t="shared" si="20"/>
        <v>14904</v>
      </c>
      <c r="M21" s="44">
        <f t="shared" si="20"/>
        <v>13224</v>
      </c>
      <c r="N21" s="44">
        <f t="shared" si="20"/>
        <v>6856</v>
      </c>
      <c r="O21" s="44">
        <f t="shared" si="20"/>
        <v>3023</v>
      </c>
      <c r="P21" s="44">
        <f t="shared" si="20"/>
        <v>14026</v>
      </c>
      <c r="Q21" s="44">
        <f t="shared" si="20"/>
        <v>8912</v>
      </c>
      <c r="R21" s="44">
        <f t="shared" si="20"/>
        <v>9065</v>
      </c>
      <c r="S21" s="44">
        <f t="shared" ref="S21:AJ21" si="21">S19+S20</f>
        <v>6198</v>
      </c>
      <c r="T21" s="44">
        <f t="shared" si="21"/>
        <v>8758</v>
      </c>
      <c r="U21" s="44">
        <f t="shared" si="21"/>
        <v>4825</v>
      </c>
      <c r="V21" s="44">
        <f t="shared" si="21"/>
        <v>-5335</v>
      </c>
      <c r="W21" s="44">
        <f t="shared" si="21"/>
        <v>478</v>
      </c>
      <c r="X21" s="44">
        <f t="shared" si="21"/>
        <v>7185</v>
      </c>
      <c r="Y21" s="44">
        <f t="shared" si="21"/>
        <v>2437</v>
      </c>
      <c r="Z21" s="44">
        <f t="shared" si="21"/>
        <v>696</v>
      </c>
      <c r="AA21" s="44">
        <f t="shared" si="21"/>
        <v>-21469</v>
      </c>
      <c r="AB21" s="44">
        <f t="shared" si="21"/>
        <v>5495</v>
      </c>
      <c r="AC21" s="44">
        <f t="shared" si="21"/>
        <v>4424</v>
      </c>
      <c r="AD21" s="44">
        <f t="shared" si="21"/>
        <v>2044</v>
      </c>
      <c r="AE21" s="44">
        <f t="shared" si="21"/>
        <v>1082</v>
      </c>
      <c r="AF21" s="44">
        <f t="shared" si="21"/>
        <v>5197</v>
      </c>
      <c r="AG21" s="44">
        <f t="shared" si="21"/>
        <v>3645</v>
      </c>
      <c r="AH21" s="44">
        <f t="shared" si="21"/>
        <v>3447</v>
      </c>
      <c r="AI21" s="44">
        <f t="shared" si="21"/>
        <v>7454</v>
      </c>
      <c r="AJ21" s="44">
        <f t="shared" si="21"/>
        <v>13994</v>
      </c>
      <c r="AL21" s="44">
        <f t="shared" ref="AL21:AO21" si="22">AL19+AL20</f>
        <v>25929</v>
      </c>
      <c r="AM21" s="44">
        <f t="shared" si="22"/>
        <v>43351</v>
      </c>
      <c r="AN21" s="44">
        <f t="shared" si="22"/>
        <v>38007</v>
      </c>
      <c r="AO21" s="44">
        <f t="shared" si="22"/>
        <v>38201</v>
      </c>
      <c r="AP21" s="44">
        <f t="shared" ref="AP21:AR21" si="23">AP19+AP20</f>
        <v>8726</v>
      </c>
      <c r="AQ21" s="44">
        <f t="shared" si="23"/>
        <v>-11151</v>
      </c>
      <c r="AR21" s="44">
        <f t="shared" si="23"/>
        <v>13045</v>
      </c>
      <c r="AS21" s="44">
        <f t="shared" ref="AS21:AT21" si="24">AS19+AS20</f>
        <v>19743</v>
      </c>
      <c r="AT21" s="44">
        <f t="shared" si="24"/>
        <v>13994</v>
      </c>
      <c r="AV21" s="47"/>
      <c r="AW21" s="47"/>
    </row>
    <row r="22" spans="2:52" s="47" customFormat="1" ht="12" customHeight="1" x14ac:dyDescent="0.2">
      <c r="B22" s="77"/>
      <c r="C22" s="78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W22" s="46"/>
      <c r="AZ22" s="46"/>
    </row>
    <row r="23" spans="2:52" s="47" customFormat="1" ht="12" customHeight="1" x14ac:dyDescent="0.2">
      <c r="B23" s="48"/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</row>
    <row r="24" spans="2:52" ht="12" customHeight="1" x14ac:dyDescent="0.2">
      <c r="AL24" s="47"/>
      <c r="AM24" s="47"/>
      <c r="AN24" s="47"/>
      <c r="AO24" s="47"/>
      <c r="AP24" s="47"/>
    </row>
    <row r="25" spans="2:52" ht="12" customHeight="1" x14ac:dyDescent="0.2">
      <c r="AL25" s="47"/>
      <c r="AM25" s="47"/>
      <c r="AN25" s="47"/>
      <c r="AO25" s="47"/>
      <c r="AP25" s="47"/>
    </row>
    <row r="26" spans="2:52" ht="12" customHeight="1" x14ac:dyDescent="0.2">
      <c r="AL26" s="47"/>
      <c r="AM26" s="47"/>
      <c r="AN26" s="47"/>
      <c r="AO26" s="47"/>
      <c r="AP26" s="47"/>
    </row>
    <row r="27" spans="2:52" ht="12" customHeight="1" x14ac:dyDescent="0.2">
      <c r="AL27" s="47"/>
      <c r="AM27" s="47"/>
      <c r="AN27" s="47"/>
      <c r="AO27" s="47"/>
      <c r="AP27" s="47"/>
    </row>
    <row r="28" spans="2:52" ht="12" customHeight="1" x14ac:dyDescent="0.2">
      <c r="AL28" s="47"/>
      <c r="AM28" s="47"/>
      <c r="AN28" s="47"/>
      <c r="AO28" s="47"/>
      <c r="AP28" s="47"/>
    </row>
    <row r="29" spans="2:52" ht="12" customHeight="1" x14ac:dyDescent="0.2">
      <c r="AL29" s="47"/>
      <c r="AM29" s="47"/>
      <c r="AN29" s="47"/>
      <c r="AO29" s="47"/>
      <c r="AP29" s="47"/>
    </row>
    <row r="30" spans="2:52" ht="12" customHeight="1" x14ac:dyDescent="0.2">
      <c r="AL30" s="47"/>
      <c r="AM30" s="47"/>
      <c r="AN30" s="47"/>
      <c r="AO30" s="47"/>
      <c r="AP30" s="47"/>
    </row>
    <row r="31" spans="2:52" ht="12" customHeight="1" x14ac:dyDescent="0.2">
      <c r="AL31" s="47"/>
      <c r="AM31" s="47"/>
      <c r="AN31" s="47"/>
      <c r="AO31" s="47"/>
      <c r="AP31" s="47"/>
    </row>
    <row r="32" spans="2:52" ht="12" customHeight="1" x14ac:dyDescent="0.2">
      <c r="AL32" s="47"/>
      <c r="AM32" s="47"/>
      <c r="AN32" s="47"/>
      <c r="AO32" s="47"/>
      <c r="AP32" s="47"/>
    </row>
    <row r="33" spans="38:42" ht="12" customHeight="1" x14ac:dyDescent="0.2">
      <c r="AL33" s="47"/>
      <c r="AM33" s="47"/>
      <c r="AN33" s="47"/>
      <c r="AO33" s="47"/>
      <c r="AP33" s="47"/>
    </row>
    <row r="34" spans="38:42" ht="12" customHeight="1" x14ac:dyDescent="0.2">
      <c r="AL34" s="47"/>
      <c r="AM34" s="47"/>
      <c r="AN34" s="47"/>
      <c r="AO34" s="47"/>
      <c r="AP34" s="47"/>
    </row>
  </sheetData>
  <mergeCells count="15">
    <mergeCell ref="AL7:AT7"/>
    <mergeCell ref="D7:AE7"/>
    <mergeCell ref="B15:C15"/>
    <mergeCell ref="B21:C21"/>
    <mergeCell ref="B7:C8"/>
    <mergeCell ref="B9:C9"/>
    <mergeCell ref="B10:C10"/>
    <mergeCell ref="B11:C11"/>
    <mergeCell ref="B12:C12"/>
    <mergeCell ref="B13:C13"/>
    <mergeCell ref="B14:C14"/>
    <mergeCell ref="B16:C16"/>
    <mergeCell ref="B17:C17"/>
    <mergeCell ref="B18:C18"/>
    <mergeCell ref="B19:C19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6694-21B7-41C3-B546-EC4BAFEEE739}">
  <sheetPr>
    <tabColor theme="0" tint="-0.34998626667073579"/>
  </sheetPr>
  <dimension ref="B1:AV34"/>
  <sheetViews>
    <sheetView showGridLines="0" zoomScaleNormal="100" zoomScaleSheetLayoutView="100" workbookViewId="0">
      <pane xSplit="3" ySplit="1" topLeftCell="AA5" activePane="bottomRight" state="frozen"/>
      <selection activeCell="Q2" sqref="Q2"/>
      <selection pane="topRight" activeCell="Q2" sqref="Q2"/>
      <selection pane="bottomLeft" activeCell="Q2" sqref="Q2"/>
      <selection pane="bottomRight" activeCell="AJ9" sqref="AJ9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2.7109375" style="54" customWidth="1"/>
    <col min="4" max="42" width="9.28515625" style="46" customWidth="1"/>
    <col min="43" max="16384" width="9.140625" style="46"/>
  </cols>
  <sheetData>
    <row r="1" spans="2:48" s="1" customFormat="1" ht="12" hidden="1" customHeight="1" x14ac:dyDescent="0.2">
      <c r="C1" s="2"/>
    </row>
    <row r="2" spans="2:48" s="1" customFormat="1" ht="12" hidden="1" customHeight="1" x14ac:dyDescent="0.2">
      <c r="C2" s="2"/>
    </row>
    <row r="3" spans="2:48" s="1" customFormat="1" ht="12" hidden="1" customHeight="1" x14ac:dyDescent="0.2">
      <c r="C3" s="2"/>
    </row>
    <row r="4" spans="2:48" s="1" customFormat="1" ht="12" hidden="1" customHeight="1" x14ac:dyDescent="0.2">
      <c r="C4" s="2"/>
    </row>
    <row r="5" spans="2:48" s="1" customFormat="1" ht="12" customHeight="1" x14ac:dyDescent="0.2">
      <c r="C5" s="2"/>
    </row>
    <row r="6" spans="2:48" ht="12" customHeight="1" x14ac:dyDescent="0.2">
      <c r="B6" s="92" t="s">
        <v>258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48" ht="12" customHeight="1" x14ac:dyDescent="0.2">
      <c r="B7" s="174" t="s">
        <v>59</v>
      </c>
      <c r="C7" s="175"/>
      <c r="D7" s="168" t="s">
        <v>121</v>
      </c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70"/>
      <c r="AA7" s="170"/>
      <c r="AB7" s="170"/>
      <c r="AC7" s="170"/>
      <c r="AD7" s="170"/>
      <c r="AE7" s="170"/>
      <c r="AF7" s="162"/>
      <c r="AG7" s="162"/>
      <c r="AH7" s="162"/>
      <c r="AI7" s="162"/>
      <c r="AJ7" s="162"/>
      <c r="AL7" s="182" t="s">
        <v>121</v>
      </c>
      <c r="AM7" s="183"/>
      <c r="AN7" s="183"/>
      <c r="AO7" s="183"/>
      <c r="AP7" s="184"/>
      <c r="AQ7" s="184"/>
      <c r="AR7" s="184"/>
      <c r="AS7" s="184"/>
      <c r="AT7" s="185"/>
    </row>
    <row r="8" spans="2:48" ht="12" customHeight="1" x14ac:dyDescent="0.2">
      <c r="B8" s="176"/>
      <c r="C8" s="177"/>
      <c r="D8" s="4" t="s">
        <v>233</v>
      </c>
      <c r="E8" s="4" t="s">
        <v>234</v>
      </c>
      <c r="F8" s="4" t="s">
        <v>235</v>
      </c>
      <c r="G8" s="4" t="s">
        <v>236</v>
      </c>
      <c r="H8" s="4" t="s">
        <v>237</v>
      </c>
      <c r="I8" s="4" t="s">
        <v>238</v>
      </c>
      <c r="J8" s="4" t="s">
        <v>239</v>
      </c>
      <c r="K8" s="4" t="s">
        <v>240</v>
      </c>
      <c r="L8" s="4" t="s">
        <v>241</v>
      </c>
      <c r="M8" s="4" t="s">
        <v>242</v>
      </c>
      <c r="N8" s="4" t="s">
        <v>243</v>
      </c>
      <c r="O8" s="4" t="s">
        <v>244</v>
      </c>
      <c r="P8" s="4" t="s">
        <v>295</v>
      </c>
      <c r="Q8" s="4" t="s">
        <v>297</v>
      </c>
      <c r="R8" s="4" t="s">
        <v>301</v>
      </c>
      <c r="S8" s="4" t="s">
        <v>306</v>
      </c>
      <c r="T8" s="4" t="s">
        <v>309</v>
      </c>
      <c r="U8" s="4" t="s">
        <v>312</v>
      </c>
      <c r="V8" s="4" t="s">
        <v>315</v>
      </c>
      <c r="W8" s="4" t="s">
        <v>318</v>
      </c>
      <c r="X8" s="4" t="s">
        <v>323</v>
      </c>
      <c r="Y8" s="4" t="s">
        <v>325</v>
      </c>
      <c r="Z8" s="4" t="s">
        <v>328</v>
      </c>
      <c r="AA8" s="4" t="s">
        <v>331</v>
      </c>
      <c r="AB8" s="4" t="s">
        <v>334</v>
      </c>
      <c r="AC8" s="4" t="s">
        <v>336</v>
      </c>
      <c r="AD8" s="4" t="s">
        <v>341</v>
      </c>
      <c r="AE8" s="4" t="s">
        <v>345</v>
      </c>
      <c r="AF8" s="4" t="s">
        <v>355</v>
      </c>
      <c r="AG8" s="4" t="s">
        <v>357</v>
      </c>
      <c r="AH8" s="4" t="s">
        <v>361</v>
      </c>
      <c r="AI8" s="4" t="s">
        <v>364</v>
      </c>
      <c r="AJ8" s="4" t="s">
        <v>355</v>
      </c>
      <c r="AL8" s="88">
        <v>2018</v>
      </c>
      <c r="AM8" s="88">
        <v>2019</v>
      </c>
      <c r="AN8" s="88">
        <v>2020</v>
      </c>
      <c r="AO8" s="88">
        <v>2021</v>
      </c>
      <c r="AP8" s="88">
        <v>2022</v>
      </c>
      <c r="AQ8" s="88">
        <v>2023</v>
      </c>
      <c r="AR8" s="88">
        <v>2024</v>
      </c>
      <c r="AS8" s="88">
        <v>2025</v>
      </c>
      <c r="AT8" s="88">
        <v>2026</v>
      </c>
    </row>
    <row r="9" spans="2:48" ht="12" customHeight="1" x14ac:dyDescent="0.2">
      <c r="B9" s="178" t="s">
        <v>202</v>
      </c>
      <c r="C9" s="179"/>
      <c r="D9" s="52">
        <f>'Segmenty 2018'!P6</f>
        <v>56825</v>
      </c>
      <c r="E9" s="52">
        <f>'Segmenty 2018'!P23</f>
        <v>58943</v>
      </c>
      <c r="F9" s="52">
        <f>'Segmenty 2018'!P40</f>
        <v>65403</v>
      </c>
      <c r="G9" s="52">
        <f>'Segmenty 2018'!P57</f>
        <v>77173</v>
      </c>
      <c r="H9" s="52">
        <f>'Segmenty 2019'!P6</f>
        <v>60694</v>
      </c>
      <c r="I9" s="52">
        <f>'Segmenty 2019'!P23</f>
        <v>66237</v>
      </c>
      <c r="J9" s="52">
        <f>'Segmenty 2019'!P40</f>
        <v>62665</v>
      </c>
      <c r="K9" s="52">
        <f>'Segmenty 2019'!P57</f>
        <v>67179</v>
      </c>
      <c r="L9" s="52">
        <f>'Segmenty 2020'!P6</f>
        <v>60299</v>
      </c>
      <c r="M9" s="52">
        <f>'Segmenty 2020'!P23</f>
        <v>50530</v>
      </c>
      <c r="N9" s="52">
        <f>'Segmenty 2020'!P40</f>
        <v>60925</v>
      </c>
      <c r="O9" s="52">
        <v>67802</v>
      </c>
      <c r="P9" s="52">
        <v>68757</v>
      </c>
      <c r="Q9" s="52">
        <v>72431</v>
      </c>
      <c r="R9" s="52">
        <v>76880</v>
      </c>
      <c r="S9" s="52">
        <v>77345</v>
      </c>
      <c r="T9" s="52">
        <v>80655</v>
      </c>
      <c r="U9" s="52">
        <v>86714</v>
      </c>
      <c r="V9" s="52">
        <v>89254</v>
      </c>
      <c r="W9" s="52">
        <v>104316</v>
      </c>
      <c r="X9" s="52">
        <v>98300</v>
      </c>
      <c r="Y9" s="52">
        <v>99576</v>
      </c>
      <c r="Z9" s="52">
        <v>95877</v>
      </c>
      <c r="AA9" s="52">
        <v>85867</v>
      </c>
      <c r="AB9" s="52">
        <v>88632</v>
      </c>
      <c r="AC9" s="52">
        <v>105069</v>
      </c>
      <c r="AD9" s="52">
        <v>92649</v>
      </c>
      <c r="AE9" s="52">
        <v>87298</v>
      </c>
      <c r="AF9" s="52">
        <v>100694</v>
      </c>
      <c r="AG9" s="52">
        <v>103340</v>
      </c>
      <c r="AH9" s="52">
        <v>93145</v>
      </c>
      <c r="AI9" s="52">
        <v>109267</v>
      </c>
      <c r="AJ9" s="52">
        <v>99743</v>
      </c>
      <c r="AL9" s="52">
        <f>SUM(D9:G9)</f>
        <v>258344</v>
      </c>
      <c r="AM9" s="52">
        <f>SUM(H9:K9)</f>
        <v>256775</v>
      </c>
      <c r="AN9" s="52">
        <f>SUM(L9:O9)</f>
        <v>239556</v>
      </c>
      <c r="AO9" s="52">
        <f>SUM($P9:S9)</f>
        <v>295413</v>
      </c>
      <c r="AP9" s="52">
        <f>SUM($T9:W9)</f>
        <v>360939</v>
      </c>
      <c r="AQ9" s="52">
        <f>SUM($X9:AA9)</f>
        <v>379620</v>
      </c>
      <c r="AR9" s="52">
        <f>SUM($AB9:AE9)</f>
        <v>373648</v>
      </c>
      <c r="AS9" s="52">
        <f>SUM($AF9:AI9)</f>
        <v>406446</v>
      </c>
      <c r="AT9" s="52">
        <f>SUM($AJ9:AJ9)</f>
        <v>99743</v>
      </c>
    </row>
    <row r="10" spans="2:48" ht="12" customHeight="1" x14ac:dyDescent="0.2">
      <c r="B10" s="178" t="s">
        <v>33</v>
      </c>
      <c r="C10" s="179"/>
      <c r="D10" s="52">
        <f>'Segmenty 2018'!P7</f>
        <v>34721</v>
      </c>
      <c r="E10" s="52">
        <f>'Segmenty 2018'!P24</f>
        <v>34902</v>
      </c>
      <c r="F10" s="52">
        <f>'Segmenty 2018'!P41</f>
        <v>38024</v>
      </c>
      <c r="G10" s="52">
        <f>'Segmenty 2018'!P58</f>
        <v>51822</v>
      </c>
      <c r="H10" s="52">
        <f>'Segmenty 2019'!P7</f>
        <v>37488</v>
      </c>
      <c r="I10" s="52">
        <f>'Segmenty 2019'!P24</f>
        <v>40316</v>
      </c>
      <c r="J10" s="52">
        <f>'Segmenty 2019'!P41</f>
        <v>42677</v>
      </c>
      <c r="K10" s="52">
        <f>'Segmenty 2019'!P58</f>
        <v>51305</v>
      </c>
      <c r="L10" s="52">
        <v>41598</v>
      </c>
      <c r="M10" s="52">
        <v>33193</v>
      </c>
      <c r="N10" s="52">
        <v>42547</v>
      </c>
      <c r="O10" s="52">
        <v>47079</v>
      </c>
      <c r="P10" s="52">
        <v>45667</v>
      </c>
      <c r="Q10" s="52">
        <v>44989</v>
      </c>
      <c r="R10" s="52">
        <v>51492</v>
      </c>
      <c r="S10" s="52">
        <f>56309+1</f>
        <v>56310</v>
      </c>
      <c r="T10" s="52">
        <v>55849</v>
      </c>
      <c r="U10" s="52">
        <v>60081</v>
      </c>
      <c r="V10" s="52">
        <v>64698</v>
      </c>
      <c r="W10" s="52">
        <v>71544</v>
      </c>
      <c r="X10" s="52">
        <v>67196</v>
      </c>
      <c r="Y10" s="52">
        <v>71523</v>
      </c>
      <c r="Z10" s="52">
        <v>68389</v>
      </c>
      <c r="AA10" s="52">
        <v>59950</v>
      </c>
      <c r="AB10" s="52">
        <v>62858</v>
      </c>
      <c r="AC10" s="52">
        <v>70677</v>
      </c>
      <c r="AD10" s="52">
        <v>62995</v>
      </c>
      <c r="AE10" s="52">
        <v>64754</v>
      </c>
      <c r="AF10" s="52">
        <v>68410</v>
      </c>
      <c r="AG10" s="52">
        <v>67701</v>
      </c>
      <c r="AH10" s="52">
        <v>62641</v>
      </c>
      <c r="AI10" s="52">
        <v>76124</v>
      </c>
      <c r="AJ10" s="52">
        <v>67260</v>
      </c>
      <c r="AL10" s="52">
        <f>SUM(D10:G10)</f>
        <v>159469</v>
      </c>
      <c r="AM10" s="52">
        <f>SUM(H10:K10)</f>
        <v>171786</v>
      </c>
      <c r="AN10" s="52">
        <f>SUM(L10:O10)</f>
        <v>164417</v>
      </c>
      <c r="AO10" s="52">
        <f>SUM($P10:S10)</f>
        <v>198458</v>
      </c>
      <c r="AP10" s="52">
        <f>SUM($T10:W10)</f>
        <v>252172</v>
      </c>
      <c r="AQ10" s="52">
        <f>SUM($X10:AA10)</f>
        <v>267058</v>
      </c>
      <c r="AR10" s="52">
        <f>SUM($AB10:AE10)</f>
        <v>261284</v>
      </c>
      <c r="AS10" s="52">
        <f>SUM($AF10:AI10)</f>
        <v>274876</v>
      </c>
      <c r="AT10" s="52">
        <f>SUM($AJ10:AJ10)</f>
        <v>67260</v>
      </c>
      <c r="AV10" s="109"/>
    </row>
    <row r="11" spans="2:48" ht="12" customHeight="1" x14ac:dyDescent="0.2">
      <c r="B11" s="173" t="s">
        <v>203</v>
      </c>
      <c r="C11" s="173"/>
      <c r="D11" s="44">
        <f>D9-D10</f>
        <v>22104</v>
      </c>
      <c r="E11" s="44">
        <f t="shared" ref="E11:R11" si="0">E9-E10</f>
        <v>24041</v>
      </c>
      <c r="F11" s="44">
        <f t="shared" si="0"/>
        <v>27379</v>
      </c>
      <c r="G11" s="44">
        <f t="shared" si="0"/>
        <v>25351</v>
      </c>
      <c r="H11" s="44">
        <f t="shared" si="0"/>
        <v>23206</v>
      </c>
      <c r="I11" s="44">
        <f t="shared" si="0"/>
        <v>25921</v>
      </c>
      <c r="J11" s="44">
        <f t="shared" si="0"/>
        <v>19988</v>
      </c>
      <c r="K11" s="44">
        <f t="shared" si="0"/>
        <v>15874</v>
      </c>
      <c r="L11" s="44">
        <f t="shared" si="0"/>
        <v>18701</v>
      </c>
      <c r="M11" s="44">
        <f t="shared" si="0"/>
        <v>17337</v>
      </c>
      <c r="N11" s="44">
        <f t="shared" si="0"/>
        <v>18378</v>
      </c>
      <c r="O11" s="44">
        <f t="shared" si="0"/>
        <v>20723</v>
      </c>
      <c r="P11" s="44">
        <f t="shared" si="0"/>
        <v>23090</v>
      </c>
      <c r="Q11" s="44">
        <f t="shared" si="0"/>
        <v>27442</v>
      </c>
      <c r="R11" s="44">
        <f t="shared" si="0"/>
        <v>25388</v>
      </c>
      <c r="S11" s="44">
        <f t="shared" ref="S11:AI11" si="1">S9-S10</f>
        <v>21035</v>
      </c>
      <c r="T11" s="44">
        <f t="shared" si="1"/>
        <v>24806</v>
      </c>
      <c r="U11" s="44">
        <f t="shared" si="1"/>
        <v>26633</v>
      </c>
      <c r="V11" s="44">
        <f t="shared" si="1"/>
        <v>24556</v>
      </c>
      <c r="W11" s="44">
        <f t="shared" si="1"/>
        <v>32772</v>
      </c>
      <c r="X11" s="44">
        <f t="shared" si="1"/>
        <v>31104</v>
      </c>
      <c r="Y11" s="44">
        <f t="shared" si="1"/>
        <v>28053</v>
      </c>
      <c r="Z11" s="44">
        <f t="shared" si="1"/>
        <v>27488</v>
      </c>
      <c r="AA11" s="44">
        <f t="shared" si="1"/>
        <v>25917</v>
      </c>
      <c r="AB11" s="44">
        <f t="shared" si="1"/>
        <v>25774</v>
      </c>
      <c r="AC11" s="44">
        <f t="shared" si="1"/>
        <v>34392</v>
      </c>
      <c r="AD11" s="44">
        <f t="shared" si="1"/>
        <v>29654</v>
      </c>
      <c r="AE11" s="44">
        <f t="shared" si="1"/>
        <v>22544</v>
      </c>
      <c r="AF11" s="44">
        <f t="shared" si="1"/>
        <v>32284</v>
      </c>
      <c r="AG11" s="44">
        <f t="shared" si="1"/>
        <v>35639</v>
      </c>
      <c r="AH11" s="44">
        <f t="shared" si="1"/>
        <v>30504</v>
      </c>
      <c r="AI11" s="44">
        <f t="shared" si="1"/>
        <v>33143</v>
      </c>
      <c r="AJ11" s="44">
        <f t="shared" ref="AJ11" si="2">AJ9-AJ10</f>
        <v>32483</v>
      </c>
      <c r="AL11" s="44">
        <f t="shared" ref="AL11:AO11" si="3">AL9-AL10</f>
        <v>98875</v>
      </c>
      <c r="AM11" s="44">
        <f t="shared" si="3"/>
        <v>84989</v>
      </c>
      <c r="AN11" s="44">
        <f t="shared" si="3"/>
        <v>75139</v>
      </c>
      <c r="AO11" s="44">
        <f t="shared" si="3"/>
        <v>96955</v>
      </c>
      <c r="AP11" s="44">
        <f t="shared" ref="AP11:AR11" si="4">AP9-AP10</f>
        <v>108767</v>
      </c>
      <c r="AQ11" s="44">
        <f t="shared" si="4"/>
        <v>112562</v>
      </c>
      <c r="AR11" s="44">
        <f t="shared" si="4"/>
        <v>112364</v>
      </c>
      <c r="AS11" s="44">
        <f t="shared" ref="AS11:AT11" si="5">AS9-AS10</f>
        <v>131570</v>
      </c>
      <c r="AT11" s="44">
        <f t="shared" si="5"/>
        <v>32483</v>
      </c>
      <c r="AV11" s="109"/>
    </row>
    <row r="12" spans="2:48" ht="12" customHeight="1" x14ac:dyDescent="0.2">
      <c r="B12" s="171" t="s">
        <v>4</v>
      </c>
      <c r="C12" s="172"/>
      <c r="D12" s="52">
        <f>'Segmenty 2018'!P9</f>
        <v>3480</v>
      </c>
      <c r="E12" s="52">
        <f>'Segmenty 2018'!P26</f>
        <v>4047</v>
      </c>
      <c r="F12" s="52">
        <f>'Segmenty 2018'!P43</f>
        <v>4418</v>
      </c>
      <c r="G12" s="52">
        <f>'Segmenty 2018'!P60</f>
        <v>6627</v>
      </c>
      <c r="H12" s="52">
        <f>'Segmenty 2019'!P9</f>
        <v>3924</v>
      </c>
      <c r="I12" s="52">
        <f>'Segmenty 2019'!P26</f>
        <v>4109</v>
      </c>
      <c r="J12" s="52">
        <f>'Segmenty 2019'!P43</f>
        <v>3588</v>
      </c>
      <c r="K12" s="52">
        <f>'Segmenty 2019'!P60</f>
        <v>4897</v>
      </c>
      <c r="L12" s="52">
        <f>'Segmenty 2020'!P9</f>
        <v>3562</v>
      </c>
      <c r="M12" s="52">
        <f>'Segmenty 2020'!P26</f>
        <v>2692</v>
      </c>
      <c r="N12" s="52">
        <f>'Segmenty 2020'!P43</f>
        <v>2957</v>
      </c>
      <c r="O12" s="52">
        <v>3364</v>
      </c>
      <c r="P12" s="52">
        <v>3182</v>
      </c>
      <c r="Q12" s="52">
        <v>3141</v>
      </c>
      <c r="R12" s="52">
        <v>3000</v>
      </c>
      <c r="S12" s="52">
        <v>3879</v>
      </c>
      <c r="T12" s="52">
        <v>3829</v>
      </c>
      <c r="U12" s="52">
        <v>4186</v>
      </c>
      <c r="V12" s="52">
        <v>4965</v>
      </c>
      <c r="W12" s="52">
        <v>5541</v>
      </c>
      <c r="X12" s="52">
        <v>4237</v>
      </c>
      <c r="Y12" s="52">
        <v>4623</v>
      </c>
      <c r="Z12" s="52">
        <v>4436</v>
      </c>
      <c r="AA12" s="52">
        <v>5555</v>
      </c>
      <c r="AB12" s="52">
        <v>4494</v>
      </c>
      <c r="AC12" s="52">
        <v>5213</v>
      </c>
      <c r="AD12" s="52">
        <v>4257</v>
      </c>
      <c r="AE12" s="52">
        <v>4778</v>
      </c>
      <c r="AF12" s="52">
        <v>5057</v>
      </c>
      <c r="AG12" s="52">
        <v>6244</v>
      </c>
      <c r="AH12" s="52">
        <v>5372</v>
      </c>
      <c r="AI12" s="52">
        <v>6783</v>
      </c>
      <c r="AJ12" s="52">
        <v>5952</v>
      </c>
      <c r="AL12" s="52">
        <f>SUM(D12:G12)</f>
        <v>18572</v>
      </c>
      <c r="AM12" s="52">
        <f>SUM(H12:K12)</f>
        <v>16518</v>
      </c>
      <c r="AN12" s="52">
        <f>SUM(L12:O12)</f>
        <v>12575</v>
      </c>
      <c r="AO12" s="52">
        <f>SUM($P12:S12)</f>
        <v>13202</v>
      </c>
      <c r="AP12" s="52">
        <f>SUM($T12:W12)</f>
        <v>18521</v>
      </c>
      <c r="AQ12" s="52">
        <f>SUM($X12:AA12)</f>
        <v>18851</v>
      </c>
      <c r="AR12" s="52">
        <f>SUM($AB12:AE12)</f>
        <v>18742</v>
      </c>
      <c r="AS12" s="52">
        <f>SUM($AF12:AI12)</f>
        <v>23456</v>
      </c>
      <c r="AT12" s="52">
        <f>SUM($AJ12:AJ12)</f>
        <v>5952</v>
      </c>
      <c r="AV12" s="109"/>
    </row>
    <row r="13" spans="2:48" ht="12" customHeight="1" x14ac:dyDescent="0.2">
      <c r="B13" s="171" t="s">
        <v>5</v>
      </c>
      <c r="C13" s="172"/>
      <c r="D13" s="52">
        <f>'Segmenty 2018'!P10</f>
        <v>7754</v>
      </c>
      <c r="E13" s="52">
        <f>'Segmenty 2018'!P27</f>
        <v>9191</v>
      </c>
      <c r="F13" s="52">
        <f>'Segmenty 2018'!P44</f>
        <v>8997</v>
      </c>
      <c r="G13" s="52">
        <f>'Segmenty 2018'!P61</f>
        <v>10837</v>
      </c>
      <c r="H13" s="52">
        <f>'Segmenty 2019'!P10</f>
        <v>10172</v>
      </c>
      <c r="I13" s="52">
        <f>'Segmenty 2019'!P27</f>
        <v>10081</v>
      </c>
      <c r="J13" s="52">
        <f>'Segmenty 2019'!P44</f>
        <v>9409</v>
      </c>
      <c r="K13" s="52">
        <f>'Segmenty 2019'!P61</f>
        <v>9746</v>
      </c>
      <c r="L13" s="52">
        <f>'Segmenty 2020'!P10</f>
        <v>10095</v>
      </c>
      <c r="M13" s="52">
        <f>'Segmenty 2020'!P27</f>
        <v>9603</v>
      </c>
      <c r="N13" s="52">
        <v>10766</v>
      </c>
      <c r="O13" s="52">
        <v>10783</v>
      </c>
      <c r="P13" s="52">
        <v>11947</v>
      </c>
      <c r="Q13" s="52">
        <v>11016</v>
      </c>
      <c r="R13" s="52">
        <v>11381</v>
      </c>
      <c r="S13" s="52">
        <v>11743</v>
      </c>
      <c r="T13" s="52">
        <v>11722</v>
      </c>
      <c r="U13" s="52">
        <v>13735</v>
      </c>
      <c r="V13" s="52">
        <v>12684</v>
      </c>
      <c r="W13" s="52">
        <v>15176</v>
      </c>
      <c r="X13" s="52">
        <v>14434</v>
      </c>
      <c r="Y13" s="52">
        <v>13476</v>
      </c>
      <c r="Z13" s="52">
        <v>14275</v>
      </c>
      <c r="AA13" s="52">
        <v>13661</v>
      </c>
      <c r="AB13" s="52">
        <v>14426</v>
      </c>
      <c r="AC13" s="52">
        <v>14970</v>
      </c>
      <c r="AD13" s="52">
        <v>14430</v>
      </c>
      <c r="AE13" s="52">
        <v>17399</v>
      </c>
      <c r="AF13" s="52">
        <v>17294</v>
      </c>
      <c r="AG13" s="52">
        <v>17864</v>
      </c>
      <c r="AH13" s="52">
        <v>16952</v>
      </c>
      <c r="AI13" s="52">
        <v>17300</v>
      </c>
      <c r="AJ13" s="52">
        <v>16983</v>
      </c>
      <c r="AL13" s="52">
        <f>SUM(D13:G13)</f>
        <v>36779</v>
      </c>
      <c r="AM13" s="52">
        <f>SUM(H13:K13)</f>
        <v>39408</v>
      </c>
      <c r="AN13" s="52">
        <f>SUM(L13:O13)</f>
        <v>41247</v>
      </c>
      <c r="AO13" s="52">
        <f>SUM($P13:S13)</f>
        <v>46087</v>
      </c>
      <c r="AP13" s="52">
        <f>SUM($T13:W13)</f>
        <v>53317</v>
      </c>
      <c r="AQ13" s="52">
        <f>SUM($X13:AA13)</f>
        <v>55846</v>
      </c>
      <c r="AR13" s="52">
        <f>SUM($AB13:AE13)</f>
        <v>61225</v>
      </c>
      <c r="AS13" s="52">
        <f>SUM($AF13:AI13)</f>
        <v>69410</v>
      </c>
      <c r="AT13" s="52">
        <f>SUM($AJ13:AJ13)</f>
        <v>16983</v>
      </c>
      <c r="AV13" s="109"/>
    </row>
    <row r="14" spans="2:48" ht="12" customHeight="1" x14ac:dyDescent="0.2">
      <c r="B14" s="173" t="s">
        <v>204</v>
      </c>
      <c r="C14" s="173"/>
      <c r="D14" s="44">
        <f>D11-D12-D13</f>
        <v>10870</v>
      </c>
      <c r="E14" s="44">
        <f t="shared" ref="E14:R14" si="6">E11-E12-E13</f>
        <v>10803</v>
      </c>
      <c r="F14" s="44">
        <f t="shared" si="6"/>
        <v>13964</v>
      </c>
      <c r="G14" s="44">
        <f t="shared" si="6"/>
        <v>7887</v>
      </c>
      <c r="H14" s="44">
        <f t="shared" si="6"/>
        <v>9110</v>
      </c>
      <c r="I14" s="44">
        <f t="shared" si="6"/>
        <v>11731</v>
      </c>
      <c r="J14" s="44">
        <f t="shared" si="6"/>
        <v>6991</v>
      </c>
      <c r="K14" s="44">
        <f t="shared" si="6"/>
        <v>1231</v>
      </c>
      <c r="L14" s="44">
        <f t="shared" si="6"/>
        <v>5044</v>
      </c>
      <c r="M14" s="44">
        <f t="shared" si="6"/>
        <v>5042</v>
      </c>
      <c r="N14" s="44">
        <f t="shared" si="6"/>
        <v>4655</v>
      </c>
      <c r="O14" s="44">
        <f t="shared" si="6"/>
        <v>6576</v>
      </c>
      <c r="P14" s="44">
        <f t="shared" si="6"/>
        <v>7961</v>
      </c>
      <c r="Q14" s="44">
        <f t="shared" si="6"/>
        <v>13285</v>
      </c>
      <c r="R14" s="44">
        <f t="shared" si="6"/>
        <v>11007</v>
      </c>
      <c r="S14" s="44">
        <f t="shared" ref="S14:AI14" si="7">S11-S12-S13</f>
        <v>5413</v>
      </c>
      <c r="T14" s="44">
        <f t="shared" si="7"/>
        <v>9255</v>
      </c>
      <c r="U14" s="44">
        <f t="shared" si="7"/>
        <v>8712</v>
      </c>
      <c r="V14" s="44">
        <f t="shared" si="7"/>
        <v>6907</v>
      </c>
      <c r="W14" s="44">
        <f t="shared" si="7"/>
        <v>12055</v>
      </c>
      <c r="X14" s="44">
        <f t="shared" si="7"/>
        <v>12433</v>
      </c>
      <c r="Y14" s="44">
        <f t="shared" si="7"/>
        <v>9954</v>
      </c>
      <c r="Z14" s="44">
        <f t="shared" si="7"/>
        <v>8777</v>
      </c>
      <c r="AA14" s="44">
        <f t="shared" si="7"/>
        <v>6701</v>
      </c>
      <c r="AB14" s="44">
        <f t="shared" si="7"/>
        <v>6854</v>
      </c>
      <c r="AC14" s="44">
        <f t="shared" si="7"/>
        <v>14209</v>
      </c>
      <c r="AD14" s="44">
        <f t="shared" si="7"/>
        <v>10967</v>
      </c>
      <c r="AE14" s="44">
        <f t="shared" si="7"/>
        <v>367</v>
      </c>
      <c r="AF14" s="44">
        <f t="shared" si="7"/>
        <v>9933</v>
      </c>
      <c r="AG14" s="44">
        <f t="shared" si="7"/>
        <v>11531</v>
      </c>
      <c r="AH14" s="44">
        <f t="shared" si="7"/>
        <v>8180</v>
      </c>
      <c r="AI14" s="44">
        <f t="shared" si="7"/>
        <v>9060</v>
      </c>
      <c r="AJ14" s="44">
        <f t="shared" ref="AJ14" si="8">AJ11-AJ12-AJ13</f>
        <v>9548</v>
      </c>
      <c r="AL14" s="44">
        <f t="shared" ref="AL14:AO14" si="9">AL11-AL12-AL13</f>
        <v>43524</v>
      </c>
      <c r="AM14" s="44">
        <f t="shared" si="9"/>
        <v>29063</v>
      </c>
      <c r="AN14" s="44">
        <f t="shared" si="9"/>
        <v>21317</v>
      </c>
      <c r="AO14" s="44">
        <f t="shared" si="9"/>
        <v>37666</v>
      </c>
      <c r="AP14" s="44">
        <f t="shared" ref="AP14:AR14" si="10">AP11-AP12-AP13</f>
        <v>36929</v>
      </c>
      <c r="AQ14" s="44">
        <f t="shared" si="10"/>
        <v>37865</v>
      </c>
      <c r="AR14" s="44">
        <f t="shared" si="10"/>
        <v>32397</v>
      </c>
      <c r="AS14" s="44">
        <f t="shared" ref="AS14:AT14" si="11">AS11-AS12-AS13</f>
        <v>38704</v>
      </c>
      <c r="AT14" s="44">
        <f t="shared" si="11"/>
        <v>9548</v>
      </c>
      <c r="AV14" s="109"/>
    </row>
    <row r="15" spans="2:48" ht="12" customHeight="1" x14ac:dyDescent="0.2">
      <c r="B15" s="171" t="s">
        <v>350</v>
      </c>
      <c r="C15" s="17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>
        <v>-296</v>
      </c>
      <c r="AB15" s="52"/>
      <c r="AC15" s="52"/>
      <c r="AD15" s="52"/>
      <c r="AE15" s="52">
        <v>76</v>
      </c>
      <c r="AF15" s="52">
        <v>84</v>
      </c>
      <c r="AG15" s="52">
        <v>6</v>
      </c>
      <c r="AH15" s="52">
        <v>51</v>
      </c>
      <c r="AI15" s="52">
        <v>52</v>
      </c>
      <c r="AJ15" s="52">
        <v>-1858</v>
      </c>
      <c r="AL15" s="52"/>
      <c r="AM15" s="52"/>
      <c r="AN15" s="52"/>
      <c r="AO15" s="52"/>
      <c r="AP15" s="52"/>
      <c r="AQ15" s="52">
        <f>SUM($X15:AA15)</f>
        <v>-296</v>
      </c>
      <c r="AR15" s="52">
        <f>SUM($AB15:AE15)</f>
        <v>76</v>
      </c>
      <c r="AS15" s="52">
        <f>SUM($AF15:AI15)</f>
        <v>193</v>
      </c>
      <c r="AT15" s="52">
        <f>SUM($AJ15:AJ15)</f>
        <v>-1858</v>
      </c>
      <c r="AV15" s="109"/>
    </row>
    <row r="16" spans="2:48" ht="12" customHeight="1" x14ac:dyDescent="0.2">
      <c r="B16" s="171" t="s">
        <v>205</v>
      </c>
      <c r="C16" s="172"/>
      <c r="D16" s="52">
        <f>'Segmenty 2018'!P12</f>
        <v>-481</v>
      </c>
      <c r="E16" s="52">
        <f>'Segmenty 2018'!P29</f>
        <v>-354</v>
      </c>
      <c r="F16" s="52">
        <f>'Segmenty 2018'!P46</f>
        <v>277</v>
      </c>
      <c r="G16" s="52">
        <f>'Segmenty 2018'!P63</f>
        <v>-1927</v>
      </c>
      <c r="H16" s="52">
        <f>'Segmenty 2019'!P12</f>
        <v>-629</v>
      </c>
      <c r="I16" s="52">
        <f>'Segmenty 2019'!P29</f>
        <v>-758</v>
      </c>
      <c r="J16" s="52">
        <f>'Segmenty 2019'!P46</f>
        <v>-655</v>
      </c>
      <c r="K16" s="52">
        <f>'Segmenty 2019'!P63</f>
        <v>-476</v>
      </c>
      <c r="L16" s="52">
        <v>117</v>
      </c>
      <c r="M16" s="52">
        <v>-974</v>
      </c>
      <c r="N16" s="52">
        <v>1335</v>
      </c>
      <c r="O16" s="52">
        <v>2995</v>
      </c>
      <c r="P16" s="52">
        <v>36648</v>
      </c>
      <c r="Q16" s="52">
        <v>-1</v>
      </c>
      <c r="R16" s="52">
        <v>16</v>
      </c>
      <c r="S16" s="52">
        <f>346+1</f>
        <v>347</v>
      </c>
      <c r="T16" s="52">
        <v>-1832</v>
      </c>
      <c r="U16" s="52">
        <v>13</v>
      </c>
      <c r="V16" s="52">
        <v>1257</v>
      </c>
      <c r="W16" s="52">
        <v>-1856</v>
      </c>
      <c r="X16" s="52">
        <v>-1242</v>
      </c>
      <c r="Y16" s="52">
        <v>-1146</v>
      </c>
      <c r="Z16" s="52">
        <f>-100+0.55</f>
        <v>-99.45</v>
      </c>
      <c r="AA16" s="52">
        <v>-530.54999999999995</v>
      </c>
      <c r="AB16" s="52">
        <v>-70</v>
      </c>
      <c r="AC16" s="52">
        <v>-2791</v>
      </c>
      <c r="AD16" s="52">
        <v>-176</v>
      </c>
      <c r="AE16" s="52">
        <v>-575</v>
      </c>
      <c r="AF16" s="52">
        <v>-1600</v>
      </c>
      <c r="AG16" s="52">
        <v>-161</v>
      </c>
      <c r="AH16" s="52">
        <v>39</v>
      </c>
      <c r="AI16" s="52">
        <f>-549+1</f>
        <v>-548</v>
      </c>
      <c r="AJ16" s="52">
        <v>24</v>
      </c>
      <c r="AL16" s="52">
        <f>SUM(D16:G16)</f>
        <v>-2485</v>
      </c>
      <c r="AM16" s="52">
        <f>SUM(H16:K16)</f>
        <v>-2518</v>
      </c>
      <c r="AN16" s="52">
        <f>SUM(L16:O16)</f>
        <v>3473</v>
      </c>
      <c r="AO16" s="52">
        <f>SUM($P16:S16)</f>
        <v>37010</v>
      </c>
      <c r="AP16" s="52">
        <f>SUM($T16:W16)</f>
        <v>-2418</v>
      </c>
      <c r="AQ16" s="52">
        <f>SUM($X16:AA16)</f>
        <v>-3018</v>
      </c>
      <c r="AR16" s="52">
        <f>SUM($AB16:AE16)</f>
        <v>-3612</v>
      </c>
      <c r="AS16" s="52">
        <f>SUM($AF16:AI16)-1</f>
        <v>-2271</v>
      </c>
      <c r="AT16" s="52">
        <f>SUM($AJ16:AJ16)</f>
        <v>24</v>
      </c>
      <c r="AV16" s="109"/>
    </row>
    <row r="17" spans="2:48" ht="12" customHeight="1" x14ac:dyDescent="0.2">
      <c r="B17" s="180" t="s">
        <v>206</v>
      </c>
      <c r="C17" s="181"/>
      <c r="D17" s="52">
        <f>'Segmenty 2018'!P13</f>
        <v>157</v>
      </c>
      <c r="E17" s="52">
        <f>'Segmenty 2018'!P30</f>
        <v>283</v>
      </c>
      <c r="F17" s="52">
        <f>'Segmenty 2018'!P47</f>
        <v>481</v>
      </c>
      <c r="G17" s="52">
        <f>'Segmenty 2018'!P64</f>
        <v>399</v>
      </c>
      <c r="H17" s="52">
        <f>'Segmenty 2019'!P13</f>
        <v>235</v>
      </c>
      <c r="I17" s="52">
        <f>'Segmenty 2019'!P30</f>
        <v>328</v>
      </c>
      <c r="J17" s="52">
        <f>'Segmenty 2019'!P47</f>
        <v>603</v>
      </c>
      <c r="K17" s="52">
        <f>'Segmenty 2019'!P64</f>
        <v>504</v>
      </c>
      <c r="L17" s="52">
        <f>'Segmenty 2020'!P13</f>
        <v>-6</v>
      </c>
      <c r="M17" s="52">
        <f>'Segmenty 2020'!P30</f>
        <v>406</v>
      </c>
      <c r="N17" s="52">
        <f>'Segmenty 2020'!P47</f>
        <v>459</v>
      </c>
      <c r="O17" s="52">
        <v>493</v>
      </c>
      <c r="P17" s="52">
        <v>302</v>
      </c>
      <c r="Q17" s="52">
        <v>280</v>
      </c>
      <c r="R17" s="52">
        <v>379</v>
      </c>
      <c r="S17" s="52">
        <v>675</v>
      </c>
      <c r="T17" s="52">
        <v>93</v>
      </c>
      <c r="U17" s="52">
        <v>351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0</v>
      </c>
      <c r="AL17" s="52">
        <f>SUM(D17:G17)</f>
        <v>1320</v>
      </c>
      <c r="AM17" s="52">
        <f>SUM(H17:K17)</f>
        <v>1670</v>
      </c>
      <c r="AN17" s="52">
        <f>SUM(L17:O17)</f>
        <v>1352</v>
      </c>
      <c r="AO17" s="52">
        <f>SUM($P17:S17)</f>
        <v>1636</v>
      </c>
      <c r="AP17" s="52">
        <f>SUM($T17:W17)</f>
        <v>444</v>
      </c>
      <c r="AQ17" s="52">
        <f>SUM($X17:AA17)</f>
        <v>0</v>
      </c>
      <c r="AR17" s="52">
        <f>SUM($AB17:AE17)</f>
        <v>0</v>
      </c>
      <c r="AS17" s="52">
        <f>SUM($AF17:AI17)</f>
        <v>0</v>
      </c>
      <c r="AT17" s="52">
        <f>SUM($AJ17:AJ17)</f>
        <v>0</v>
      </c>
      <c r="AV17" s="109"/>
    </row>
    <row r="18" spans="2:48" ht="12" customHeight="1" x14ac:dyDescent="0.2">
      <c r="B18" s="180" t="s">
        <v>27</v>
      </c>
      <c r="C18" s="181"/>
      <c r="D18" s="52">
        <f>'Segmenty 2018'!P14</f>
        <v>0</v>
      </c>
      <c r="E18" s="52">
        <f>'Segmenty 2018'!P31</f>
        <v>0</v>
      </c>
      <c r="F18" s="52">
        <f>'Segmenty 2018'!P48</f>
        <v>0</v>
      </c>
      <c r="G18" s="52">
        <f>'Segmenty 2018'!P65</f>
        <v>0</v>
      </c>
      <c r="H18" s="52">
        <f>'Segmenty 2019'!P14</f>
        <v>0</v>
      </c>
      <c r="I18" s="52">
        <f>'Segmenty 2019'!P31</f>
        <v>0</v>
      </c>
      <c r="J18" s="52">
        <f>'Segmenty 2019'!P48</f>
        <v>0</v>
      </c>
      <c r="K18" s="52">
        <f>'Segmenty 2019'!P65</f>
        <v>0</v>
      </c>
      <c r="L18" s="52">
        <f>'Segmenty 2020'!P14</f>
        <v>0</v>
      </c>
      <c r="M18" s="52">
        <f>'Segmenty 2020'!P31</f>
        <v>0</v>
      </c>
      <c r="N18" s="52">
        <f>'Segmenty 2020'!P48</f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L18" s="52">
        <f>SUM(D18:G18)</f>
        <v>0</v>
      </c>
      <c r="AM18" s="52">
        <f>SUM(H18:K18)</f>
        <v>0</v>
      </c>
      <c r="AN18" s="52">
        <f>SUM(L18:O18)</f>
        <v>0</v>
      </c>
      <c r="AO18" s="52">
        <f>SUM($P18:S18)</f>
        <v>0</v>
      </c>
      <c r="AP18" s="52">
        <f>SUM($T18:W18)</f>
        <v>0</v>
      </c>
      <c r="AQ18" s="52">
        <f>SUM($X18:AA18)</f>
        <v>0</v>
      </c>
      <c r="AR18" s="52">
        <f>SUM($AB18:AE18)</f>
        <v>0</v>
      </c>
      <c r="AS18" s="52">
        <f>SUM($AF18:AI18)</f>
        <v>0</v>
      </c>
      <c r="AT18" s="52">
        <f>SUM($AJ18:AJ18)</f>
        <v>0</v>
      </c>
      <c r="AV18" s="109"/>
    </row>
    <row r="19" spans="2:48" ht="12" customHeight="1" x14ac:dyDescent="0.2">
      <c r="B19" s="173" t="s">
        <v>207</v>
      </c>
      <c r="C19" s="173"/>
      <c r="D19" s="44">
        <f t="shared" ref="D19:AD19" si="12">D14+D15+D16+D17+D18</f>
        <v>10546</v>
      </c>
      <c r="E19" s="44">
        <f t="shared" si="12"/>
        <v>10732</v>
      </c>
      <c r="F19" s="44">
        <f t="shared" si="12"/>
        <v>14722</v>
      </c>
      <c r="G19" s="44">
        <f t="shared" si="12"/>
        <v>6359</v>
      </c>
      <c r="H19" s="44">
        <f t="shared" si="12"/>
        <v>8716</v>
      </c>
      <c r="I19" s="44">
        <f t="shared" si="12"/>
        <v>11301</v>
      </c>
      <c r="J19" s="44">
        <f t="shared" si="12"/>
        <v>6939</v>
      </c>
      <c r="K19" s="44">
        <f t="shared" si="12"/>
        <v>1259</v>
      </c>
      <c r="L19" s="44">
        <f t="shared" si="12"/>
        <v>5155</v>
      </c>
      <c r="M19" s="44">
        <f t="shared" si="12"/>
        <v>4474</v>
      </c>
      <c r="N19" s="44">
        <f t="shared" si="12"/>
        <v>6449</v>
      </c>
      <c r="O19" s="44">
        <f t="shared" si="12"/>
        <v>10064</v>
      </c>
      <c r="P19" s="44">
        <f t="shared" si="12"/>
        <v>44911</v>
      </c>
      <c r="Q19" s="44">
        <f t="shared" si="12"/>
        <v>13564</v>
      </c>
      <c r="R19" s="44">
        <f t="shared" si="12"/>
        <v>11402</v>
      </c>
      <c r="S19" s="44">
        <f t="shared" si="12"/>
        <v>6435</v>
      </c>
      <c r="T19" s="44">
        <f t="shared" si="12"/>
        <v>7516</v>
      </c>
      <c r="U19" s="44">
        <f t="shared" si="12"/>
        <v>9076</v>
      </c>
      <c r="V19" s="44">
        <f t="shared" si="12"/>
        <v>8164</v>
      </c>
      <c r="W19" s="44">
        <f t="shared" si="12"/>
        <v>10199</v>
      </c>
      <c r="X19" s="44">
        <f t="shared" si="12"/>
        <v>11191</v>
      </c>
      <c r="Y19" s="44">
        <f t="shared" si="12"/>
        <v>8808</v>
      </c>
      <c r="Z19" s="44">
        <f t="shared" si="12"/>
        <v>8677.5499999999993</v>
      </c>
      <c r="AA19" s="44">
        <f t="shared" si="12"/>
        <v>5874.45</v>
      </c>
      <c r="AB19" s="44">
        <f t="shared" si="12"/>
        <v>6784</v>
      </c>
      <c r="AC19" s="44">
        <f t="shared" si="12"/>
        <v>11418</v>
      </c>
      <c r="AD19" s="44">
        <f t="shared" si="12"/>
        <v>10791</v>
      </c>
      <c r="AE19" s="44">
        <f t="shared" ref="AE19:AJ19" si="13">AE14+AE15+AE16+AE17+AE18</f>
        <v>-132</v>
      </c>
      <c r="AF19" s="44">
        <f t="shared" si="13"/>
        <v>8417</v>
      </c>
      <c r="AG19" s="44">
        <f t="shared" si="13"/>
        <v>11376</v>
      </c>
      <c r="AH19" s="44">
        <f t="shared" si="13"/>
        <v>8270</v>
      </c>
      <c r="AI19" s="44">
        <f t="shared" si="13"/>
        <v>8564</v>
      </c>
      <c r="AJ19" s="44">
        <f t="shared" si="13"/>
        <v>7714</v>
      </c>
      <c r="AL19" s="44">
        <f t="shared" ref="AL19:AR19" si="14">AL14+AL15+AL16+AL17+AL18</f>
        <v>42359</v>
      </c>
      <c r="AM19" s="44">
        <f t="shared" si="14"/>
        <v>28215</v>
      </c>
      <c r="AN19" s="44">
        <f t="shared" si="14"/>
        <v>26142</v>
      </c>
      <c r="AO19" s="44">
        <f t="shared" si="14"/>
        <v>76312</v>
      </c>
      <c r="AP19" s="44">
        <f t="shared" si="14"/>
        <v>34955</v>
      </c>
      <c r="AQ19" s="44">
        <f t="shared" si="14"/>
        <v>34551</v>
      </c>
      <c r="AR19" s="44">
        <f t="shared" si="14"/>
        <v>28861</v>
      </c>
      <c r="AS19" s="44">
        <f t="shared" ref="AS19:AT19" si="15">AS14+AS15+AS16+AS17+AS18</f>
        <v>36626</v>
      </c>
      <c r="AT19" s="44">
        <f t="shared" si="15"/>
        <v>7714</v>
      </c>
      <c r="AV19" s="109"/>
    </row>
    <row r="20" spans="2:48" ht="12" customHeight="1" x14ac:dyDescent="0.2">
      <c r="B20" s="89" t="s">
        <v>22</v>
      </c>
      <c r="C20" s="76"/>
      <c r="D20" s="52">
        <f>'Segmenty 2018'!P16</f>
        <v>1842</v>
      </c>
      <c r="E20" s="52">
        <f>'Segmenty 2018'!P33</f>
        <v>2037</v>
      </c>
      <c r="F20" s="52">
        <f>'Segmenty 2018'!P50</f>
        <v>1926</v>
      </c>
      <c r="G20" s="52">
        <f>'Segmenty 2018'!P67</f>
        <v>1972</v>
      </c>
      <c r="H20" s="52">
        <f>'Segmenty 2019'!P16</f>
        <v>2363</v>
      </c>
      <c r="I20" s="52">
        <f>'Segmenty 2019'!P33</f>
        <v>2150</v>
      </c>
      <c r="J20" s="52">
        <f>'Segmenty 2019'!P50</f>
        <v>2298</v>
      </c>
      <c r="K20" s="52">
        <f>'Segmenty 2019'!P67</f>
        <v>2695</v>
      </c>
      <c r="L20" s="52">
        <f>'Segmenty 2020'!P16</f>
        <v>2569</v>
      </c>
      <c r="M20" s="52">
        <f>'Segmenty 2020'!P33</f>
        <v>2162</v>
      </c>
      <c r="N20" s="52">
        <v>2874</v>
      </c>
      <c r="O20" s="52">
        <v>2713</v>
      </c>
      <c r="P20" s="52">
        <v>2939</v>
      </c>
      <c r="Q20" s="52">
        <v>2819</v>
      </c>
      <c r="R20" s="52">
        <v>2789</v>
      </c>
      <c r="S20" s="52">
        <v>2833</v>
      </c>
      <c r="T20" s="52">
        <v>2752</v>
      </c>
      <c r="U20" s="52">
        <v>3304</v>
      </c>
      <c r="V20" s="52">
        <v>3481</v>
      </c>
      <c r="W20" s="52">
        <v>4217</v>
      </c>
      <c r="X20" s="52">
        <v>4027</v>
      </c>
      <c r="Y20" s="52">
        <v>4280</v>
      </c>
      <c r="Z20" s="52">
        <v>4810</v>
      </c>
      <c r="AA20" s="52">
        <v>4206</v>
      </c>
      <c r="AB20" s="52">
        <v>4583</v>
      </c>
      <c r="AC20" s="52">
        <v>5535</v>
      </c>
      <c r="AD20" s="52">
        <v>5144</v>
      </c>
      <c r="AE20" s="52">
        <v>6001</v>
      </c>
      <c r="AF20" s="52">
        <v>7194</v>
      </c>
      <c r="AG20" s="52">
        <v>7145</v>
      </c>
      <c r="AH20" s="52">
        <v>7279</v>
      </c>
      <c r="AI20" s="52">
        <v>7581</v>
      </c>
      <c r="AJ20" s="52">
        <v>7588</v>
      </c>
      <c r="AL20" s="52">
        <f>SUM(D20:G20)</f>
        <v>7777</v>
      </c>
      <c r="AM20" s="52">
        <f>SUM(H20:K20)</f>
        <v>9506</v>
      </c>
      <c r="AN20" s="52">
        <f>SUM(L20:O20)</f>
        <v>10318</v>
      </c>
      <c r="AO20" s="52">
        <f>SUM($P20:S20)</f>
        <v>11380</v>
      </c>
      <c r="AP20" s="52">
        <f>SUM($T20:W20)</f>
        <v>13754</v>
      </c>
      <c r="AQ20" s="52">
        <f>SUM($X20:AA20)</f>
        <v>17323</v>
      </c>
      <c r="AR20" s="52">
        <f>SUM($AB20:AE20)</f>
        <v>21263</v>
      </c>
      <c r="AS20" s="52">
        <f>SUM($AF20:AI20)</f>
        <v>29199</v>
      </c>
      <c r="AT20" s="52">
        <f>SUM($AJ20:AJ20)</f>
        <v>7588</v>
      </c>
      <c r="AV20" s="109"/>
    </row>
    <row r="21" spans="2:48" ht="12" customHeight="1" x14ac:dyDescent="0.2">
      <c r="B21" s="173" t="s">
        <v>23</v>
      </c>
      <c r="C21" s="173"/>
      <c r="D21" s="44">
        <f>D19+D20</f>
        <v>12388</v>
      </c>
      <c r="E21" s="44">
        <f t="shared" ref="E21:O21" si="16">E19+E20</f>
        <v>12769</v>
      </c>
      <c r="F21" s="44">
        <f t="shared" si="16"/>
        <v>16648</v>
      </c>
      <c r="G21" s="44">
        <f t="shared" si="16"/>
        <v>8331</v>
      </c>
      <c r="H21" s="44">
        <f t="shared" si="16"/>
        <v>11079</v>
      </c>
      <c r="I21" s="44">
        <f t="shared" si="16"/>
        <v>13451</v>
      </c>
      <c r="J21" s="44">
        <f t="shared" si="16"/>
        <v>9237</v>
      </c>
      <c r="K21" s="44">
        <f t="shared" si="16"/>
        <v>3954</v>
      </c>
      <c r="L21" s="44">
        <f t="shared" si="16"/>
        <v>7724</v>
      </c>
      <c r="M21" s="44">
        <f t="shared" si="16"/>
        <v>6636</v>
      </c>
      <c r="N21" s="44">
        <f t="shared" si="16"/>
        <v>9323</v>
      </c>
      <c r="O21" s="44">
        <f t="shared" si="16"/>
        <v>12777</v>
      </c>
      <c r="P21" s="44">
        <f t="shared" ref="P21:AI21" si="17">P19+P20</f>
        <v>47850</v>
      </c>
      <c r="Q21" s="44">
        <f t="shared" si="17"/>
        <v>16383</v>
      </c>
      <c r="R21" s="44">
        <f t="shared" si="17"/>
        <v>14191</v>
      </c>
      <c r="S21" s="44">
        <f t="shared" si="17"/>
        <v>9268</v>
      </c>
      <c r="T21" s="44">
        <f t="shared" si="17"/>
        <v>10268</v>
      </c>
      <c r="U21" s="44">
        <f t="shared" si="17"/>
        <v>12380</v>
      </c>
      <c r="V21" s="44">
        <f t="shared" si="17"/>
        <v>11645</v>
      </c>
      <c r="W21" s="44">
        <f t="shared" si="17"/>
        <v>14416</v>
      </c>
      <c r="X21" s="44">
        <f t="shared" si="17"/>
        <v>15218</v>
      </c>
      <c r="Y21" s="44">
        <f t="shared" si="17"/>
        <v>13088</v>
      </c>
      <c r="Z21" s="44">
        <f t="shared" si="17"/>
        <v>13487.55</v>
      </c>
      <c r="AA21" s="44">
        <f t="shared" si="17"/>
        <v>10080.450000000001</v>
      </c>
      <c r="AB21" s="44">
        <f t="shared" si="17"/>
        <v>11367</v>
      </c>
      <c r="AC21" s="44">
        <f t="shared" si="17"/>
        <v>16953</v>
      </c>
      <c r="AD21" s="44">
        <f t="shared" si="17"/>
        <v>15935</v>
      </c>
      <c r="AE21" s="44">
        <f t="shared" si="17"/>
        <v>5869</v>
      </c>
      <c r="AF21" s="44">
        <f t="shared" si="17"/>
        <v>15611</v>
      </c>
      <c r="AG21" s="44">
        <f t="shared" si="17"/>
        <v>18521</v>
      </c>
      <c r="AH21" s="44">
        <f t="shared" si="17"/>
        <v>15549</v>
      </c>
      <c r="AI21" s="44">
        <f t="shared" si="17"/>
        <v>16145</v>
      </c>
      <c r="AJ21" s="44">
        <f t="shared" ref="AJ21" si="18">AJ19+AJ20</f>
        <v>15302</v>
      </c>
      <c r="AL21" s="44">
        <f t="shared" ref="AL21:AO21" si="19">AL19+AL20</f>
        <v>50136</v>
      </c>
      <c r="AM21" s="44">
        <f t="shared" si="19"/>
        <v>37721</v>
      </c>
      <c r="AN21" s="44">
        <f t="shared" si="19"/>
        <v>36460</v>
      </c>
      <c r="AO21" s="44">
        <f t="shared" si="19"/>
        <v>87692</v>
      </c>
      <c r="AP21" s="44">
        <f t="shared" ref="AP21:AR21" si="20">AP19+AP20</f>
        <v>48709</v>
      </c>
      <c r="AQ21" s="44">
        <f t="shared" si="20"/>
        <v>51874</v>
      </c>
      <c r="AR21" s="44">
        <f t="shared" si="20"/>
        <v>50124</v>
      </c>
      <c r="AS21" s="44">
        <f t="shared" ref="AS21:AT21" si="21">AS19+AS20</f>
        <v>65825</v>
      </c>
      <c r="AT21" s="44">
        <f t="shared" si="21"/>
        <v>15302</v>
      </c>
      <c r="AV21" s="47"/>
    </row>
    <row r="22" spans="2:48" s="47" customFormat="1" ht="12" customHeight="1" x14ac:dyDescent="0.2">
      <c r="B22" s="77"/>
      <c r="C22" s="78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</row>
    <row r="23" spans="2:48" s="47" customFormat="1" ht="12" customHeight="1" x14ac:dyDescent="0.2">
      <c r="B23" s="48"/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</row>
    <row r="24" spans="2:48" ht="12" customHeight="1" x14ac:dyDescent="0.2">
      <c r="AL24" s="47"/>
      <c r="AM24" s="47"/>
      <c r="AN24" s="47"/>
      <c r="AO24" s="47"/>
      <c r="AP24" s="47"/>
    </row>
    <row r="25" spans="2:48" ht="12" customHeight="1" x14ac:dyDescent="0.2">
      <c r="AL25" s="47"/>
      <c r="AM25" s="47"/>
      <c r="AN25" s="47"/>
      <c r="AO25" s="47"/>
      <c r="AP25" s="47"/>
    </row>
    <row r="26" spans="2:48" ht="12" customHeight="1" x14ac:dyDescent="0.2">
      <c r="AL26" s="47"/>
      <c r="AM26" s="47"/>
      <c r="AN26" s="47"/>
      <c r="AO26" s="47"/>
      <c r="AP26" s="47"/>
    </row>
    <row r="27" spans="2:48" ht="12" customHeight="1" x14ac:dyDescent="0.2">
      <c r="AL27" s="47"/>
      <c r="AM27" s="47"/>
      <c r="AN27" s="47"/>
      <c r="AO27" s="47"/>
      <c r="AP27" s="47"/>
    </row>
    <row r="28" spans="2:48" ht="12" customHeight="1" x14ac:dyDescent="0.2">
      <c r="AL28" s="47"/>
      <c r="AM28" s="47"/>
      <c r="AN28" s="47"/>
      <c r="AO28" s="47"/>
      <c r="AP28" s="47"/>
    </row>
    <row r="29" spans="2:48" ht="12" customHeight="1" x14ac:dyDescent="0.2">
      <c r="AL29" s="47"/>
      <c r="AM29" s="47"/>
      <c r="AN29" s="47"/>
      <c r="AO29" s="47"/>
      <c r="AP29" s="47"/>
    </row>
    <row r="30" spans="2:48" ht="12" customHeight="1" x14ac:dyDescent="0.2">
      <c r="AL30" s="47"/>
      <c r="AM30" s="47"/>
      <c r="AN30" s="47"/>
      <c r="AO30" s="47"/>
      <c r="AP30" s="47"/>
    </row>
    <row r="31" spans="2:48" ht="12" customHeight="1" x14ac:dyDescent="0.2">
      <c r="AL31" s="47"/>
      <c r="AM31" s="47"/>
      <c r="AN31" s="47"/>
      <c r="AO31" s="47"/>
      <c r="AP31" s="47"/>
    </row>
    <row r="32" spans="2:48" ht="12" customHeight="1" x14ac:dyDescent="0.2">
      <c r="AL32" s="47"/>
      <c r="AM32" s="47"/>
      <c r="AN32" s="47"/>
      <c r="AO32" s="47"/>
      <c r="AP32" s="47"/>
    </row>
    <row r="33" spans="38:42" ht="12" customHeight="1" x14ac:dyDescent="0.2">
      <c r="AL33" s="47"/>
      <c r="AM33" s="47"/>
      <c r="AN33" s="47"/>
      <c r="AO33" s="47"/>
      <c r="AP33" s="47"/>
    </row>
    <row r="34" spans="38:42" ht="12" customHeight="1" x14ac:dyDescent="0.2">
      <c r="AL34" s="47"/>
      <c r="AM34" s="47"/>
      <c r="AN34" s="47"/>
      <c r="AO34" s="47"/>
      <c r="AP34" s="47"/>
    </row>
  </sheetData>
  <mergeCells count="15">
    <mergeCell ref="AL7:AT7"/>
    <mergeCell ref="D7:AE7"/>
    <mergeCell ref="B15:C15"/>
    <mergeCell ref="B21:C21"/>
    <mergeCell ref="B7:C8"/>
    <mergeCell ref="B9:C9"/>
    <mergeCell ref="B10:C10"/>
    <mergeCell ref="B11:C11"/>
    <mergeCell ref="B12:C12"/>
    <mergeCell ref="B13:C13"/>
    <mergeCell ref="B14:C14"/>
    <mergeCell ref="B16:C16"/>
    <mergeCell ref="B17:C17"/>
    <mergeCell ref="B18:C18"/>
    <mergeCell ref="B19:C19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9ACE-1045-49F5-94C6-73B859DFA02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BE0D-6781-4218-9381-ED4895D77BA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3EA2-93B6-4263-A56D-4BB6B20BBADC}">
  <sheetPr>
    <tabColor rgb="FFC00000"/>
    <pageSetUpPr fitToPage="1"/>
  </sheetPr>
  <dimension ref="B1:S37"/>
  <sheetViews>
    <sheetView showGridLines="0" tabSelected="1" zoomScaleNormal="100" zoomScaleSheetLayoutView="100" workbookViewId="0">
      <pane xSplit="2" ySplit="9" topLeftCell="C10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60" sqref="B60"/>
    </sheetView>
  </sheetViews>
  <sheetFormatPr defaultColWidth="9.140625" defaultRowHeight="12" customHeight="1" x14ac:dyDescent="0.2"/>
  <cols>
    <col min="1" max="1" width="1.140625" style="3" customWidth="1"/>
    <col min="2" max="2" width="51.28515625" style="16" customWidth="1"/>
    <col min="3" max="5" width="10.7109375" style="3" hidden="1" customWidth="1"/>
    <col min="6" max="6" width="8" style="3" hidden="1" customWidth="1"/>
    <col min="7" max="7" width="0.140625" style="3" customWidth="1"/>
    <col min="8" max="15" width="9.28515625" style="3" customWidth="1"/>
    <col min="16" max="16384" width="9.140625" style="3"/>
  </cols>
  <sheetData>
    <row r="1" spans="2:19" s="1" customFormat="1" ht="12" hidden="1" customHeight="1" x14ac:dyDescent="0.2">
      <c r="B1" s="2"/>
    </row>
    <row r="2" spans="2:19" s="1" customFormat="1" ht="12" hidden="1" customHeight="1" x14ac:dyDescent="0.2">
      <c r="B2" s="2"/>
    </row>
    <row r="3" spans="2:19" s="1" customFormat="1" ht="12" hidden="1" customHeight="1" x14ac:dyDescent="0.2">
      <c r="B3" s="2"/>
    </row>
    <row r="4" spans="2:19" s="1" customFormat="1" ht="12" hidden="1" customHeight="1" x14ac:dyDescent="0.2">
      <c r="B4" s="2"/>
    </row>
    <row r="5" spans="2:19" s="1" customFormat="1" ht="12" hidden="1" customHeight="1" x14ac:dyDescent="0.2">
      <c r="B5" s="2"/>
    </row>
    <row r="6" spans="2:19" s="1" customFormat="1" ht="17.25" customHeight="1" x14ac:dyDescent="0.2">
      <c r="B6" s="2"/>
    </row>
    <row r="7" spans="2:19" s="94" customFormat="1" ht="12" customHeight="1" x14ac:dyDescent="0.2">
      <c r="B7" s="92" t="s">
        <v>283</v>
      </c>
      <c r="C7" s="92"/>
      <c r="D7" s="92"/>
      <c r="E7" s="92"/>
      <c r="F7" s="92"/>
      <c r="H7" s="92"/>
      <c r="I7" s="92"/>
      <c r="J7" s="92"/>
      <c r="K7" s="92"/>
      <c r="L7" s="92"/>
      <c r="M7" s="92"/>
      <c r="N7" s="92"/>
      <c r="O7" s="92"/>
    </row>
    <row r="8" spans="2:19" ht="12" customHeight="1" x14ac:dyDescent="0.2">
      <c r="B8" s="188" t="s">
        <v>59</v>
      </c>
      <c r="C8" s="134"/>
      <c r="D8" s="134"/>
      <c r="E8" s="134"/>
      <c r="F8" s="134"/>
      <c r="G8" s="151"/>
      <c r="H8" s="190" t="s">
        <v>121</v>
      </c>
      <c r="I8" s="169"/>
      <c r="J8" s="169"/>
      <c r="K8" s="169"/>
      <c r="L8" s="170"/>
      <c r="M8" s="170"/>
      <c r="N8" s="170"/>
      <c r="O8" s="170"/>
      <c r="P8" s="170"/>
    </row>
    <row r="9" spans="2:19" ht="12" customHeight="1" x14ac:dyDescent="0.2">
      <c r="B9" s="189"/>
      <c r="C9" s="135" t="s">
        <v>51</v>
      </c>
      <c r="D9" s="135" t="s">
        <v>52</v>
      </c>
      <c r="E9" s="135" t="s">
        <v>53</v>
      </c>
      <c r="F9" s="135" t="s">
        <v>54</v>
      </c>
      <c r="G9" s="151"/>
      <c r="H9" s="152">
        <v>2018</v>
      </c>
      <c r="I9" s="152">
        <v>2019</v>
      </c>
      <c r="J9" s="152">
        <v>2020</v>
      </c>
      <c r="K9" s="152">
        <v>2021</v>
      </c>
      <c r="L9" s="152">
        <v>2022</v>
      </c>
      <c r="M9" s="152">
        <v>2023</v>
      </c>
      <c r="N9" s="152">
        <v>2024</v>
      </c>
      <c r="O9" s="152">
        <v>2025</v>
      </c>
      <c r="P9" s="152">
        <v>2026</v>
      </c>
    </row>
    <row r="10" spans="2:19" s="15" customFormat="1" ht="12" customHeight="1" x14ac:dyDescent="0.2">
      <c r="B10" s="137" t="s">
        <v>270</v>
      </c>
      <c r="C10" s="44"/>
      <c r="D10" s="44"/>
      <c r="E10" s="44"/>
      <c r="F10" s="44"/>
      <c r="G10" s="138"/>
      <c r="H10" s="7">
        <f>'P&amp;L(y)'!I10</f>
        <v>827802</v>
      </c>
      <c r="I10" s="7">
        <f>'P&amp;L(y)'!J10</f>
        <v>877593</v>
      </c>
      <c r="J10" s="7">
        <f>'P&amp;L(y)'!K10</f>
        <v>934850</v>
      </c>
      <c r="K10" s="7">
        <f>'P&amp;L(y)'!L10</f>
        <v>940083</v>
      </c>
      <c r="L10" s="7">
        <f>'P&amp;L(y)'!M10</f>
        <v>1081792</v>
      </c>
      <c r="M10" s="7">
        <f>'P&amp;L(y)'!N10</f>
        <v>1137174</v>
      </c>
      <c r="N10" s="7">
        <f>'P&amp;L(y)'!O10</f>
        <v>1227799</v>
      </c>
      <c r="O10" s="7">
        <f>'P&amp;L(y)'!P10</f>
        <v>1201852</v>
      </c>
      <c r="P10" s="7">
        <f>'P&amp;L(y)'!Q10</f>
        <v>332942</v>
      </c>
    </row>
    <row r="11" spans="2:19" ht="12" customHeight="1" x14ac:dyDescent="0.2">
      <c r="B11" s="136" t="s">
        <v>8</v>
      </c>
      <c r="C11" s="44"/>
      <c r="D11" s="44"/>
      <c r="E11" s="44"/>
      <c r="F11" s="44"/>
      <c r="G11" s="8"/>
      <c r="H11" s="14">
        <f>'P&amp;L(y)'!I26</f>
        <v>91125</v>
      </c>
      <c r="I11" s="14">
        <f>'P&amp;L(y)'!J26</f>
        <v>76417</v>
      </c>
      <c r="J11" s="14">
        <f>'P&amp;L(y)'!K26</f>
        <v>78591</v>
      </c>
      <c r="K11" s="14">
        <f>'P&amp;L(y)'!L26</f>
        <v>94801</v>
      </c>
      <c r="L11" s="14">
        <f>'P&amp;L(y)'!M26</f>
        <v>31340</v>
      </c>
      <c r="M11" s="14">
        <f>'P&amp;L(y)'!N26</f>
        <v>40132</v>
      </c>
      <c r="N11" s="14">
        <f>'P&amp;L(y)'!O26</f>
        <v>85134</v>
      </c>
      <c r="O11" s="14">
        <f>'P&amp;L(y)'!P26</f>
        <v>88266</v>
      </c>
      <c r="P11" s="14">
        <f>'P&amp;L(y)'!Q26</f>
        <v>28858</v>
      </c>
      <c r="R11" s="15"/>
      <c r="S11" s="15"/>
    </row>
    <row r="12" spans="2:19" s="15" customFormat="1" ht="12" customHeight="1" x14ac:dyDescent="0.2">
      <c r="B12" s="137" t="s">
        <v>23</v>
      </c>
      <c r="C12" s="44"/>
      <c r="D12" s="44"/>
      <c r="E12" s="44"/>
      <c r="F12" s="44"/>
      <c r="G12" s="138"/>
      <c r="H12" s="7">
        <f>'P&amp;L(y)'!I42</f>
        <v>132907</v>
      </c>
      <c r="I12" s="7">
        <f>'P&amp;L(y)'!J42</f>
        <v>126288</v>
      </c>
      <c r="J12" s="7">
        <f>'P&amp;L(y)'!K42</f>
        <v>131100</v>
      </c>
      <c r="K12" s="7">
        <f>'P&amp;L(y)'!L42</f>
        <v>150573</v>
      </c>
      <c r="L12" s="7">
        <f>'P&amp;L(y)'!M42</f>
        <v>87067</v>
      </c>
      <c r="M12" s="7">
        <f>'P&amp;L(y)'!N42</f>
        <v>96546</v>
      </c>
      <c r="N12" s="7">
        <f>'P&amp;L(y)'!O42</f>
        <v>142446</v>
      </c>
      <c r="O12" s="7">
        <f>'P&amp;L(y)'!P42</f>
        <v>157930</v>
      </c>
      <c r="P12" s="7">
        <f>'P&amp;L(y)'!Q42</f>
        <v>47336</v>
      </c>
      <c r="Q12" s="3"/>
    </row>
    <row r="13" spans="2:19" ht="12" customHeight="1" x14ac:dyDescent="0.2">
      <c r="B13" s="136" t="s">
        <v>271</v>
      </c>
      <c r="C13" s="44"/>
      <c r="D13" s="44"/>
      <c r="E13" s="44"/>
      <c r="F13" s="44"/>
      <c r="G13" s="8"/>
      <c r="H13" s="14">
        <f>'P&amp;L(y)'!I31</f>
        <v>91774</v>
      </c>
      <c r="I13" s="14">
        <f>'P&amp;L(y)'!J31</f>
        <v>73884</v>
      </c>
      <c r="J13" s="14">
        <f>'P&amp;L(y)'!K31</f>
        <v>81917</v>
      </c>
      <c r="K13" s="14">
        <f>'P&amp;L(y)'!L31</f>
        <v>85244</v>
      </c>
      <c r="L13" s="14">
        <f>'P&amp;L(y)'!M31</f>
        <v>15915</v>
      </c>
      <c r="M13" s="14">
        <f>'P&amp;L(y)'!N31</f>
        <v>27544</v>
      </c>
      <c r="N13" s="14">
        <f>'P&amp;L(y)'!O31</f>
        <v>81818</v>
      </c>
      <c r="O13" s="14">
        <f>'P&amp;L(y)'!P31</f>
        <v>80627</v>
      </c>
      <c r="P13" s="14">
        <f>'P&amp;L(y)'!Q31</f>
        <v>26035</v>
      </c>
      <c r="R13" s="15"/>
      <c r="S13" s="15"/>
    </row>
    <row r="14" spans="2:19" s="15" customFormat="1" ht="12" customHeight="1" x14ac:dyDescent="0.2">
      <c r="B14" s="137" t="s">
        <v>16</v>
      </c>
      <c r="C14" s="44"/>
      <c r="D14" s="44"/>
      <c r="E14" s="44"/>
      <c r="F14" s="44"/>
      <c r="G14" s="138"/>
      <c r="H14" s="7">
        <f>'P&amp;L(y)'!I38</f>
        <v>70405</v>
      </c>
      <c r="I14" s="7">
        <f>'P&amp;L(y)'!J38</f>
        <v>55287</v>
      </c>
      <c r="J14" s="7">
        <f>'P&amp;L(y)'!K38</f>
        <v>62237</v>
      </c>
      <c r="K14" s="7">
        <f>'P&amp;L(y)'!L38</f>
        <v>63336</v>
      </c>
      <c r="L14" s="7">
        <f>'P&amp;L(y)'!M38</f>
        <v>7205</v>
      </c>
      <c r="M14" s="7">
        <f>'P&amp;L(y)'!N38</f>
        <v>8504</v>
      </c>
      <c r="N14" s="7">
        <f>'P&amp;L(y)'!O38</f>
        <v>73214</v>
      </c>
      <c r="O14" s="7">
        <f>'P&amp;L(y)'!P38</f>
        <v>79171</v>
      </c>
      <c r="P14" s="7">
        <f>'P&amp;L(y)'!Q38</f>
        <v>20086</v>
      </c>
    </row>
    <row r="15" spans="2:19" ht="12" customHeight="1" x14ac:dyDescent="0.2">
      <c r="B15" s="136" t="s">
        <v>272</v>
      </c>
      <c r="C15" s="44"/>
      <c r="D15" s="44"/>
      <c r="E15" s="44"/>
      <c r="F15" s="44"/>
      <c r="G15" s="8"/>
      <c r="H15" s="14">
        <f>'P&amp;L(y)'!I61</f>
        <v>67788</v>
      </c>
      <c r="I15" s="14">
        <f>'P&amp;L(y)'!J61</f>
        <v>53410</v>
      </c>
      <c r="J15" s="14">
        <f>'P&amp;L(y)'!K61</f>
        <v>60234</v>
      </c>
      <c r="K15" s="14">
        <f>'P&amp;L(y)'!L61</f>
        <v>62201</v>
      </c>
      <c r="L15" s="14">
        <f>'P&amp;L(y)'!M61</f>
        <v>6616</v>
      </c>
      <c r="M15" s="14">
        <f>'P&amp;L(y)'!N61</f>
        <v>8138</v>
      </c>
      <c r="N15" s="14">
        <f>'P&amp;L(y)'!O61</f>
        <v>73060</v>
      </c>
      <c r="O15" s="14">
        <f>'P&amp;L(y)'!P61</f>
        <v>79085</v>
      </c>
      <c r="P15" s="14">
        <f>'P&amp;L(y)'!Q61</f>
        <v>19964</v>
      </c>
      <c r="R15" s="15"/>
      <c r="S15" s="15"/>
    </row>
    <row r="16" spans="2:19" ht="12" customHeight="1" x14ac:dyDescent="0.2">
      <c r="B16" s="136" t="s">
        <v>273</v>
      </c>
      <c r="C16" s="44"/>
      <c r="D16" s="44"/>
      <c r="E16" s="44"/>
      <c r="F16" s="44"/>
      <c r="G16" s="8"/>
      <c r="H16" s="14">
        <f>'P&amp;L(y)'!I62</f>
        <v>2617</v>
      </c>
      <c r="I16" s="14">
        <f>'P&amp;L(y)'!J62</f>
        <v>1877</v>
      </c>
      <c r="J16" s="14">
        <f>'P&amp;L(y)'!K62</f>
        <v>2003</v>
      </c>
      <c r="K16" s="14">
        <f>'P&amp;L(y)'!L62</f>
        <v>1135</v>
      </c>
      <c r="L16" s="14">
        <f>'P&amp;L(y)'!M62</f>
        <v>589</v>
      </c>
      <c r="M16" s="14">
        <f>'P&amp;L(y)'!N62</f>
        <v>366</v>
      </c>
      <c r="N16" s="14">
        <f>'P&amp;L(y)'!O62</f>
        <v>154</v>
      </c>
      <c r="O16" s="14">
        <f>'P&amp;L(y)'!P62</f>
        <v>86</v>
      </c>
      <c r="P16" s="14">
        <f>'P&amp;L(y)'!Q62</f>
        <v>122</v>
      </c>
      <c r="R16" s="15"/>
      <c r="S16" s="15"/>
    </row>
    <row r="17" spans="2:19" ht="12" customHeight="1" x14ac:dyDescent="0.2">
      <c r="B17" s="136" t="s">
        <v>274</v>
      </c>
      <c r="C17" s="44"/>
      <c r="D17" s="44"/>
      <c r="E17" s="44"/>
      <c r="F17" s="44"/>
      <c r="G17" s="8"/>
      <c r="H17" s="14">
        <f>'P&amp;L(y)'!I78</f>
        <v>29450307.846575346</v>
      </c>
      <c r="I17" s="14">
        <f>'P&amp;L(y)'!J78</f>
        <v>29253721.175342459</v>
      </c>
      <c r="J17" s="14">
        <f>'P&amp;L(y)'!K78</f>
        <v>29204906.961748611</v>
      </c>
      <c r="K17" s="14">
        <f>'P&amp;L(y)'!L78</f>
        <v>29178619.232876718</v>
      </c>
      <c r="L17" s="14">
        <f>'P&amp;L(y)'!M78</f>
        <v>29070559.39178082</v>
      </c>
      <c r="M17" s="14">
        <f>'P&amp;L(y)'!N78</f>
        <v>29047073</v>
      </c>
      <c r="N17" s="14">
        <f>'P&amp;L(y)'!O78</f>
        <v>29047073</v>
      </c>
      <c r="O17" s="14">
        <f>'P&amp;L(y)'!P78</f>
        <v>29037898.509589061</v>
      </c>
      <c r="P17" s="14">
        <f>'P&amp;L(y)'!Q78</f>
        <v>29011808.27777778</v>
      </c>
      <c r="R17" s="15"/>
      <c r="S17" s="15"/>
    </row>
    <row r="18" spans="2:19" s="15" customFormat="1" ht="12" customHeight="1" x14ac:dyDescent="0.2">
      <c r="B18" s="137" t="s">
        <v>284</v>
      </c>
      <c r="C18" s="44"/>
      <c r="D18" s="44"/>
      <c r="E18" s="44"/>
      <c r="F18" s="44"/>
      <c r="G18" s="138"/>
      <c r="H18" s="139">
        <f>'P&amp;L(y)'!I44</f>
        <v>2.3017755995335984</v>
      </c>
      <c r="I18" s="139">
        <f>'P&amp;L(y)'!J44</f>
        <v>1.8257506345899857</v>
      </c>
      <c r="J18" s="139">
        <f>'P&amp;L(y)'!K44</f>
        <v>2.0624616294409708</v>
      </c>
      <c r="K18" s="139">
        <f>'P&amp;L(y)'!L44</f>
        <v>2.1317321256214772</v>
      </c>
      <c r="L18" s="139">
        <f>'P&amp;L(y)'!M44</f>
        <v>0.22758419990605877</v>
      </c>
      <c r="M18" s="139">
        <f>'P&amp;L(y)'!N44</f>
        <v>0.28016592239775762</v>
      </c>
      <c r="N18" s="139">
        <f>'P&amp;L(y)'!O44</f>
        <v>2.5152276100245969</v>
      </c>
      <c r="O18" s="139">
        <f>'P&amp;L(y)'!P44</f>
        <v>2.7235097599739908</v>
      </c>
      <c r="P18" s="139">
        <f>'P&amp;L(y)'!Q44</f>
        <v>0.68813359749422631</v>
      </c>
    </row>
    <row r="19" spans="2:19" ht="12" customHeight="1" x14ac:dyDescent="0.2">
      <c r="B19" s="127"/>
      <c r="C19" s="128"/>
      <c r="D19" s="129"/>
      <c r="E19" s="129"/>
      <c r="F19" s="129"/>
      <c r="G19" s="129"/>
      <c r="H19" s="8"/>
      <c r="I19" s="129"/>
      <c r="J19" s="129"/>
      <c r="K19" s="129"/>
      <c r="L19" s="129"/>
      <c r="M19" s="129"/>
      <c r="N19" s="129"/>
      <c r="O19" s="129"/>
      <c r="P19" s="129"/>
      <c r="R19" s="15"/>
      <c r="S19" s="15"/>
    </row>
    <row r="20" spans="2:19" ht="12" customHeight="1" x14ac:dyDescent="0.2">
      <c r="B20" s="136" t="s">
        <v>275</v>
      </c>
      <c r="C20" s="44"/>
      <c r="D20" s="44"/>
      <c r="E20" s="44"/>
      <c r="F20" s="44"/>
      <c r="G20" s="8"/>
      <c r="H20" s="14">
        <f>CF!G48</f>
        <v>89783</v>
      </c>
      <c r="I20" s="14">
        <f>CF!K48</f>
        <v>121303</v>
      </c>
      <c r="J20" s="14">
        <f>CF!O48</f>
        <v>125021</v>
      </c>
      <c r="K20" s="14">
        <f>CF!S48</f>
        <v>31564</v>
      </c>
      <c r="L20" s="14">
        <f>CF!W48</f>
        <v>52153</v>
      </c>
      <c r="M20" s="14">
        <f>CF!AA48</f>
        <v>107935</v>
      </c>
      <c r="N20" s="14">
        <f>CF!AE48</f>
        <v>151193</v>
      </c>
      <c r="O20" s="14">
        <f>CF!AI48</f>
        <v>128962</v>
      </c>
      <c r="P20" s="14">
        <f>CF!AJ48</f>
        <v>35695</v>
      </c>
      <c r="R20" s="15"/>
      <c r="S20" s="15"/>
    </row>
    <row r="21" spans="2:19" ht="12" customHeight="1" x14ac:dyDescent="0.2">
      <c r="B21" s="136" t="s">
        <v>276</v>
      </c>
      <c r="C21" s="44"/>
      <c r="D21" s="44"/>
      <c r="E21" s="44"/>
      <c r="F21" s="44"/>
      <c r="G21" s="8"/>
      <c r="H21" s="14">
        <f>CF!G69</f>
        <v>-45132</v>
      </c>
      <c r="I21" s="14">
        <f>CF!K69</f>
        <v>-52001</v>
      </c>
      <c r="J21" s="14">
        <f>CF!O69</f>
        <v>-59901</v>
      </c>
      <c r="K21" s="14">
        <f>CF!S69</f>
        <v>-66469</v>
      </c>
      <c r="L21" s="14">
        <f>CF!W69</f>
        <v>-47066</v>
      </c>
      <c r="M21" s="14">
        <f>CF!AA69</f>
        <v>-25225</v>
      </c>
      <c r="N21" s="14">
        <f>CF!AE69</f>
        <v>-58668</v>
      </c>
      <c r="O21" s="14">
        <f>CF!AI69</f>
        <v>-72051</v>
      </c>
      <c r="P21" s="14">
        <f>CF!AJ69</f>
        <v>-20670</v>
      </c>
      <c r="R21" s="15"/>
      <c r="S21" s="15"/>
    </row>
    <row r="22" spans="2:19" ht="12" customHeight="1" x14ac:dyDescent="0.2">
      <c r="B22" s="136" t="s">
        <v>277</v>
      </c>
      <c r="C22" s="44"/>
      <c r="D22" s="44"/>
      <c r="E22" s="44"/>
      <c r="F22" s="44"/>
      <c r="G22" s="8"/>
      <c r="H22" s="14">
        <f>CF!G82</f>
        <v>-56922</v>
      </c>
      <c r="I22" s="14">
        <f>CF!K82</f>
        <v>-64311</v>
      </c>
      <c r="J22" s="14">
        <f>CF!O82</f>
        <v>-70191</v>
      </c>
      <c r="K22" s="14">
        <f>CF!S82</f>
        <v>42486</v>
      </c>
      <c r="L22" s="14">
        <f>CF!W82</f>
        <v>-12939</v>
      </c>
      <c r="M22" s="14">
        <f>CF!AA82</f>
        <v>-88751</v>
      </c>
      <c r="N22" s="14">
        <f>CF!AE82</f>
        <v>-97748</v>
      </c>
      <c r="O22" s="14">
        <f>CF!AI82</f>
        <v>-54202</v>
      </c>
      <c r="P22" s="14">
        <f>CF!AJ82</f>
        <v>-6957</v>
      </c>
      <c r="R22" s="15"/>
      <c r="S22" s="15"/>
    </row>
    <row r="23" spans="2:19" s="15" customFormat="1" ht="12" customHeight="1" x14ac:dyDescent="0.2">
      <c r="B23" s="137" t="s">
        <v>278</v>
      </c>
      <c r="C23" s="44"/>
      <c r="D23" s="44"/>
      <c r="E23" s="44"/>
      <c r="F23" s="44"/>
      <c r="G23" s="138"/>
      <c r="H23" s="7">
        <f>SUM(H20:H22)</f>
        <v>-12271</v>
      </c>
      <c r="I23" s="7">
        <f t="shared" ref="I23:J23" si="0">SUM(I20:I22)</f>
        <v>4991</v>
      </c>
      <c r="J23" s="7">
        <f t="shared" si="0"/>
        <v>-5071</v>
      </c>
      <c r="K23" s="7">
        <f t="shared" ref="K23:L23" si="1">SUM(K20:K22)</f>
        <v>7581</v>
      </c>
      <c r="L23" s="7">
        <f t="shared" si="1"/>
        <v>-7852</v>
      </c>
      <c r="M23" s="7">
        <f t="shared" ref="M23:N23" si="2">SUM(M20:M22)</f>
        <v>-6041</v>
      </c>
      <c r="N23" s="7">
        <f t="shared" si="2"/>
        <v>-5223</v>
      </c>
      <c r="O23" s="7">
        <f t="shared" ref="O23:P23" si="3">SUM(O20:O22)</f>
        <v>2709</v>
      </c>
      <c r="P23" s="7">
        <f t="shared" si="3"/>
        <v>8068</v>
      </c>
    </row>
    <row r="24" spans="2:19" ht="12" customHeight="1" x14ac:dyDescent="0.2">
      <c r="B24" s="127"/>
      <c r="C24" s="128"/>
      <c r="D24" s="129"/>
      <c r="E24" s="129"/>
      <c r="F24" s="129"/>
      <c r="G24" s="129"/>
      <c r="H24" s="8"/>
      <c r="I24" s="129"/>
      <c r="J24" s="129"/>
      <c r="K24" s="129"/>
      <c r="L24" s="129"/>
      <c r="M24" s="129"/>
      <c r="N24" s="129"/>
      <c r="O24" s="129"/>
      <c r="P24" s="129"/>
      <c r="R24" s="15"/>
      <c r="S24" s="15"/>
    </row>
    <row r="25" spans="2:19" s="15" customFormat="1" ht="12" customHeight="1" x14ac:dyDescent="0.2">
      <c r="B25" s="137" t="s">
        <v>279</v>
      </c>
      <c r="C25" s="44"/>
      <c r="D25" s="44"/>
      <c r="E25" s="44"/>
      <c r="F25" s="44"/>
      <c r="G25" s="138"/>
      <c r="H25" s="7">
        <f>SUM(H26:H27)</f>
        <v>839190</v>
      </c>
      <c r="I25" s="7">
        <f t="shared" ref="I25:J25" si="4">SUM(I26:I27)</f>
        <v>887836</v>
      </c>
      <c r="J25" s="7">
        <f t="shared" si="4"/>
        <v>874949</v>
      </c>
      <c r="K25" s="7">
        <f t="shared" ref="K25:M25" si="5">SUM(K26:K27)</f>
        <v>999260</v>
      </c>
      <c r="L25" s="7">
        <f t="shared" si="5"/>
        <v>1042047</v>
      </c>
      <c r="M25" s="7">
        <f t="shared" si="5"/>
        <v>975198</v>
      </c>
      <c r="N25" s="7">
        <f t="shared" ref="N25:O25" si="6">SUM(N26:N27)</f>
        <v>965357</v>
      </c>
      <c r="O25" s="7">
        <f t="shared" si="6"/>
        <v>1034155</v>
      </c>
      <c r="P25" s="7">
        <f t="shared" ref="P25" si="7">SUM(P26:P27)</f>
        <v>1070234</v>
      </c>
    </row>
    <row r="26" spans="2:19" ht="12" customHeight="1" x14ac:dyDescent="0.2">
      <c r="B26" s="136" t="s">
        <v>60</v>
      </c>
      <c r="C26" s="44"/>
      <c r="D26" s="44"/>
      <c r="E26" s="44"/>
      <c r="F26" s="44"/>
      <c r="G26" s="8"/>
      <c r="H26" s="14">
        <f>BS!AL10</f>
        <v>459944</v>
      </c>
      <c r="I26" s="14">
        <f>BS!AM10</f>
        <v>472363</v>
      </c>
      <c r="J26" s="14">
        <f>BS!AN10</f>
        <v>496611</v>
      </c>
      <c r="K26" s="14">
        <f>BS!AO10</f>
        <v>532118</v>
      </c>
      <c r="L26" s="14">
        <f>BS!AP10</f>
        <v>527979</v>
      </c>
      <c r="M26" s="14">
        <f>BS!AQ10</f>
        <v>492647</v>
      </c>
      <c r="N26" s="14">
        <f>BS!AR10</f>
        <v>497947</v>
      </c>
      <c r="O26" s="14">
        <f>BS!AS10</f>
        <v>540459</v>
      </c>
      <c r="P26" s="14">
        <f>BS!AT10</f>
        <v>538690</v>
      </c>
      <c r="R26" s="15"/>
      <c r="S26" s="15"/>
    </row>
    <row r="27" spans="2:19" ht="12" customHeight="1" x14ac:dyDescent="0.2">
      <c r="B27" s="136" t="s">
        <v>75</v>
      </c>
      <c r="C27" s="44"/>
      <c r="D27" s="44"/>
      <c r="E27" s="44"/>
      <c r="F27" s="44"/>
      <c r="G27" s="8"/>
      <c r="H27" s="14">
        <f>BS!AL31</f>
        <v>379246</v>
      </c>
      <c r="I27" s="14">
        <f>BS!AM31</f>
        <v>415473</v>
      </c>
      <c r="J27" s="14">
        <f>BS!AN31</f>
        <v>378338</v>
      </c>
      <c r="K27" s="14">
        <f>BS!AO31</f>
        <v>467142</v>
      </c>
      <c r="L27" s="14">
        <f>BS!AP31</f>
        <v>514068</v>
      </c>
      <c r="M27" s="14">
        <f>BS!AQ31</f>
        <v>482551</v>
      </c>
      <c r="N27" s="14">
        <f>BS!AR31</f>
        <v>467410</v>
      </c>
      <c r="O27" s="14">
        <f>BS!AS31</f>
        <v>493696</v>
      </c>
      <c r="P27" s="14">
        <f>BS!AT31</f>
        <v>531544</v>
      </c>
      <c r="R27" s="15"/>
      <c r="S27" s="15"/>
    </row>
    <row r="28" spans="2:19" s="15" customFormat="1" ht="12" customHeight="1" x14ac:dyDescent="0.2">
      <c r="B28" s="137" t="s">
        <v>280</v>
      </c>
      <c r="C28" s="44"/>
      <c r="D28" s="44"/>
      <c r="E28" s="44"/>
      <c r="F28" s="44"/>
      <c r="G28" s="138"/>
      <c r="H28" s="7">
        <f>BS!AL55</f>
        <v>476984</v>
      </c>
      <c r="I28" s="7">
        <f>BS!AM55</f>
        <v>492889</v>
      </c>
      <c r="J28" s="7">
        <f>BS!AN55</f>
        <v>517574</v>
      </c>
      <c r="K28" s="7">
        <f>BS!AO55</f>
        <v>551275</v>
      </c>
      <c r="L28" s="7">
        <f>BS!AP55</f>
        <v>539148</v>
      </c>
      <c r="M28" s="7">
        <f>BS!AQ55</f>
        <v>539023</v>
      </c>
      <c r="N28" s="7">
        <f>BS!AR55</f>
        <v>592502</v>
      </c>
      <c r="O28" s="7">
        <f>BS!AS55</f>
        <v>651616</v>
      </c>
      <c r="P28" s="7">
        <f>BS!AT55</f>
        <v>673018</v>
      </c>
    </row>
    <row r="29" spans="2:19" ht="12" customHeight="1" x14ac:dyDescent="0.2">
      <c r="B29" s="136" t="s">
        <v>98</v>
      </c>
      <c r="C29" s="44"/>
      <c r="D29" s="44"/>
      <c r="E29" s="44"/>
      <c r="F29" s="44"/>
      <c r="G29" s="8"/>
      <c r="H29" s="14">
        <f>BS!AL69</f>
        <v>5593</v>
      </c>
      <c r="I29" s="14">
        <f>BS!AM69</f>
        <v>6700</v>
      </c>
      <c r="J29" s="14">
        <f>BS!AN69</f>
        <v>7485</v>
      </c>
      <c r="K29" s="14">
        <f>BS!AO69</f>
        <v>3930</v>
      </c>
      <c r="L29" s="14">
        <f>BS!AP69</f>
        <v>1801</v>
      </c>
      <c r="M29" s="14">
        <f>BS!AQ69</f>
        <v>2058</v>
      </c>
      <c r="N29" s="14">
        <f>BS!AR69</f>
        <v>2212</v>
      </c>
      <c r="O29" s="14">
        <f>BS!AS69</f>
        <v>2224</v>
      </c>
      <c r="P29" s="14">
        <f>BS!AT69</f>
        <v>2346</v>
      </c>
      <c r="R29" s="15"/>
      <c r="S29" s="15"/>
    </row>
    <row r="30" spans="2:19" ht="12" customHeight="1" x14ac:dyDescent="0.2">
      <c r="B30" s="136" t="s">
        <v>281</v>
      </c>
      <c r="C30" s="140"/>
      <c r="D30" s="140"/>
      <c r="E30" s="140"/>
      <c r="F30" s="140"/>
      <c r="G30" s="8"/>
      <c r="H30" s="14">
        <f>BS!AL57</f>
        <v>3311</v>
      </c>
      <c r="I30" s="14">
        <f>BS!AM57</f>
        <v>3286</v>
      </c>
      <c r="J30" s="14">
        <f>BS!AN57</f>
        <v>3281</v>
      </c>
      <c r="K30" s="14">
        <f>BS!AO57</f>
        <v>3278</v>
      </c>
      <c r="L30" s="14">
        <f>BS!AP57</f>
        <v>3265</v>
      </c>
      <c r="M30" s="14">
        <f>BS!AQ57</f>
        <v>3265</v>
      </c>
      <c r="N30" s="14">
        <f>BS!AR57</f>
        <v>3265</v>
      </c>
      <c r="O30" s="14">
        <f>BS!AS57</f>
        <v>3265</v>
      </c>
      <c r="P30" s="14">
        <f>BS!AT57</f>
        <v>3265</v>
      </c>
      <c r="R30" s="15"/>
      <c r="S30" s="15"/>
    </row>
    <row r="31" spans="2:19" s="15" customFormat="1" ht="12" customHeight="1" x14ac:dyDescent="0.2">
      <c r="B31" s="137" t="s">
        <v>100</v>
      </c>
      <c r="C31" s="44"/>
      <c r="D31" s="44"/>
      <c r="E31" s="44"/>
      <c r="F31" s="44"/>
      <c r="G31" s="138"/>
      <c r="H31" s="7">
        <f>BS!AL71</f>
        <v>54769</v>
      </c>
      <c r="I31" s="7">
        <f>BS!AM71</f>
        <v>57597</v>
      </c>
      <c r="J31" s="7">
        <f>BS!AN71</f>
        <v>46456</v>
      </c>
      <c r="K31" s="7">
        <f>BS!AO71</f>
        <v>71501</v>
      </c>
      <c r="L31" s="7">
        <f>BS!AP71</f>
        <v>45174</v>
      </c>
      <c r="M31" s="7">
        <f>BS!AQ71</f>
        <v>80106</v>
      </c>
      <c r="N31" s="7">
        <f>BS!AR71</f>
        <v>63274</v>
      </c>
      <c r="O31" s="7">
        <f>BS!AS71</f>
        <v>57486</v>
      </c>
      <c r="P31" s="7">
        <f>BS!AT71</f>
        <v>55261</v>
      </c>
    </row>
    <row r="32" spans="2:19" s="15" customFormat="1" ht="12" customHeight="1" x14ac:dyDescent="0.2">
      <c r="B32" s="137" t="s">
        <v>110</v>
      </c>
      <c r="C32" s="44"/>
      <c r="D32" s="44"/>
      <c r="E32" s="44"/>
      <c r="F32" s="44"/>
      <c r="G32" s="138"/>
      <c r="H32" s="7">
        <f>BS!AL86</f>
        <v>307437</v>
      </c>
      <c r="I32" s="7">
        <f>BS!AM86</f>
        <v>337350</v>
      </c>
      <c r="J32" s="7">
        <f>BS!AN86</f>
        <v>310919</v>
      </c>
      <c r="K32" s="7">
        <f>BS!AO86</f>
        <v>376484</v>
      </c>
      <c r="L32" s="7">
        <f>BS!AP86</f>
        <v>457725</v>
      </c>
      <c r="M32" s="7">
        <f>BS!AQ86</f>
        <v>356069</v>
      </c>
      <c r="N32" s="7">
        <f>BS!AR86</f>
        <v>309581</v>
      </c>
      <c r="O32" s="7">
        <f>BS!AS86</f>
        <v>325053</v>
      </c>
      <c r="P32" s="7">
        <f>BS!AT86</f>
        <v>341955</v>
      </c>
    </row>
    <row r="33" spans="2:19" ht="12" customHeight="1" x14ac:dyDescent="0.2">
      <c r="B33" s="136" t="s">
        <v>274</v>
      </c>
      <c r="C33" s="44"/>
      <c r="D33" s="44"/>
      <c r="E33" s="44"/>
      <c r="F33" s="44"/>
      <c r="G33" s="8"/>
      <c r="H33" s="14">
        <f>H17</f>
        <v>29450307.846575346</v>
      </c>
      <c r="I33" s="14">
        <f t="shared" ref="I33:J33" si="8">I17</f>
        <v>29253721.175342459</v>
      </c>
      <c r="J33" s="14">
        <f t="shared" si="8"/>
        <v>29204906.961748611</v>
      </c>
      <c r="K33" s="14">
        <f t="shared" ref="K33:L33" si="9">K17</f>
        <v>29178619.232876718</v>
      </c>
      <c r="L33" s="14">
        <f t="shared" si="9"/>
        <v>29070559.39178082</v>
      </c>
      <c r="M33" s="14">
        <f t="shared" ref="M33:N33" si="10">M17</f>
        <v>29047073</v>
      </c>
      <c r="N33" s="14">
        <f t="shared" si="10"/>
        <v>29047073</v>
      </c>
      <c r="O33" s="14">
        <f t="shared" ref="O33:P33" si="11">O17</f>
        <v>29037898.509589061</v>
      </c>
      <c r="P33" s="14">
        <f t="shared" si="11"/>
        <v>29011808.27777778</v>
      </c>
      <c r="R33" s="15"/>
      <c r="S33" s="15"/>
    </row>
    <row r="34" spans="2:19" s="15" customFormat="1" ht="12" customHeight="1" x14ac:dyDescent="0.2">
      <c r="B34" s="137" t="s">
        <v>282</v>
      </c>
      <c r="C34" s="44"/>
      <c r="D34" s="44"/>
      <c r="E34" s="44"/>
      <c r="F34" s="44"/>
      <c r="G34" s="138"/>
      <c r="H34" s="139">
        <f>H28*1000/H33</f>
        <v>16.196231376761872</v>
      </c>
      <c r="I34" s="139">
        <f t="shared" ref="I34:J34" si="12">I28*1000/I33</f>
        <v>16.848762488905141</v>
      </c>
      <c r="J34" s="139">
        <f t="shared" si="12"/>
        <v>17.72215883713984</v>
      </c>
      <c r="K34" s="139">
        <f t="shared" ref="K34:L34" si="13">K28*1000/K33</f>
        <v>18.89311470156396</v>
      </c>
      <c r="L34" s="139">
        <f t="shared" si="13"/>
        <v>18.546185944823424</v>
      </c>
      <c r="M34" s="139">
        <f t="shared" ref="M34:N34" si="14">M28*1000/M33</f>
        <v>18.556878347088535</v>
      </c>
      <c r="N34" s="139">
        <f t="shared" si="14"/>
        <v>20.397993284899997</v>
      </c>
      <c r="O34" s="139">
        <f t="shared" ref="O34:P34" si="15">O28*1000/O33</f>
        <v>22.440191385916567</v>
      </c>
      <c r="P34" s="139">
        <f t="shared" si="15"/>
        <v>23.198071404446466</v>
      </c>
    </row>
    <row r="35" spans="2:19" ht="12" customHeight="1" x14ac:dyDescent="0.2">
      <c r="B35" s="3"/>
    </row>
    <row r="36" spans="2:19" ht="12" customHeight="1" x14ac:dyDescent="0.2">
      <c r="I36" s="106"/>
      <c r="J36" s="106"/>
      <c r="K36" s="106"/>
      <c r="L36" s="106"/>
      <c r="M36" s="106"/>
      <c r="N36" s="106"/>
      <c r="O36" s="106"/>
    </row>
    <row r="37" spans="2:19" ht="12" customHeight="1" x14ac:dyDescent="0.2">
      <c r="N37" s="3" t="s">
        <v>294</v>
      </c>
    </row>
  </sheetData>
  <mergeCells count="2">
    <mergeCell ref="B8:B9"/>
    <mergeCell ref="H8:P8"/>
  </mergeCells>
  <pageMargins left="0.78740157480314965" right="0.78740157480314965" top="0.78740157480314965" bottom="1.1811023622047245" header="0.51181102362204722" footer="0.98425196850393704"/>
  <pageSetup paperSize="9" scale="7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76-9512-499D-A244-0A78166A6453}">
  <sheetPr>
    <tabColor rgb="FFC00000"/>
    <pageSetUpPr fitToPage="1"/>
  </sheetPr>
  <dimension ref="B1:AP77"/>
  <sheetViews>
    <sheetView showGridLines="0" zoomScaleNormal="100" zoomScaleSheetLayoutView="100" workbookViewId="0">
      <pane xSplit="3" ySplit="8" topLeftCell="H3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52" sqref="R52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19" width="9.28515625" style="3" customWidth="1"/>
    <col min="20" max="20" width="5.5703125" style="3" customWidth="1"/>
    <col min="21" max="16384" width="9.140625" style="3"/>
  </cols>
  <sheetData>
    <row r="1" spans="2:20" s="1" customFormat="1" ht="12" customHeight="1" x14ac:dyDescent="0.2">
      <c r="C1" s="2"/>
    </row>
    <row r="2" spans="2:20" s="1" customFormat="1" ht="12" customHeight="1" x14ac:dyDescent="0.2">
      <c r="C2" s="2"/>
    </row>
    <row r="3" spans="2:20" s="1" customFormat="1" ht="12" customHeight="1" x14ac:dyDescent="0.2">
      <c r="C3" s="2"/>
    </row>
    <row r="4" spans="2:20" s="1" customFormat="1" ht="12" customHeight="1" x14ac:dyDescent="0.2">
      <c r="C4" s="2"/>
    </row>
    <row r="5" spans="2:20" s="1" customFormat="1" ht="12" customHeight="1" x14ac:dyDescent="0.2">
      <c r="C5" s="2"/>
    </row>
    <row r="6" spans="2:20" s="94" customFormat="1" ht="12" customHeight="1" x14ac:dyDescent="0.2">
      <c r="B6" s="92" t="s">
        <v>265</v>
      </c>
      <c r="C6" s="9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</row>
    <row r="7" spans="2:20" ht="12" customHeight="1" x14ac:dyDescent="0.2">
      <c r="B7" s="191" t="s">
        <v>59</v>
      </c>
      <c r="C7" s="192"/>
      <c r="D7" s="17"/>
      <c r="E7" s="17"/>
      <c r="F7" s="17"/>
      <c r="G7" s="17"/>
      <c r="H7" s="17"/>
      <c r="I7" s="17"/>
      <c r="J7" s="17"/>
      <c r="K7" s="17"/>
      <c r="L7" s="17"/>
      <c r="M7" s="17" t="s">
        <v>121</v>
      </c>
      <c r="N7" s="17"/>
      <c r="O7" s="17"/>
      <c r="P7" s="17"/>
      <c r="Q7" s="17"/>
      <c r="R7" s="17"/>
      <c r="S7" s="25"/>
    </row>
    <row r="8" spans="2:20" ht="12" customHeight="1" x14ac:dyDescent="0.2">
      <c r="B8" s="193"/>
      <c r="C8" s="194"/>
      <c r="D8" s="4" t="s">
        <v>51</v>
      </c>
      <c r="E8" s="4" t="s">
        <v>52</v>
      </c>
      <c r="F8" s="4" t="s">
        <v>53</v>
      </c>
      <c r="G8" s="4" t="s">
        <v>54</v>
      </c>
      <c r="H8" s="4" t="s">
        <v>233</v>
      </c>
      <c r="I8" s="4" t="s">
        <v>234</v>
      </c>
      <c r="J8" s="4" t="s">
        <v>235</v>
      </c>
      <c r="K8" s="4" t="s">
        <v>236</v>
      </c>
      <c r="L8" s="4" t="s">
        <v>237</v>
      </c>
      <c r="M8" s="4" t="s">
        <v>238</v>
      </c>
      <c r="N8" s="4" t="s">
        <v>239</v>
      </c>
      <c r="O8" s="4" t="s">
        <v>240</v>
      </c>
      <c r="P8" s="4" t="s">
        <v>241</v>
      </c>
      <c r="Q8" s="4" t="s">
        <v>242</v>
      </c>
      <c r="R8" s="4" t="s">
        <v>243</v>
      </c>
      <c r="S8" s="4" t="s">
        <v>244</v>
      </c>
    </row>
    <row r="9" spans="2:20" ht="12" customHeight="1" x14ac:dyDescent="0.2">
      <c r="B9" s="195" t="s">
        <v>26</v>
      </c>
      <c r="C9" s="19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6"/>
      <c r="T9" s="6"/>
    </row>
    <row r="10" spans="2:20" ht="12" customHeight="1" x14ac:dyDescent="0.2">
      <c r="B10" s="173" t="s">
        <v>0</v>
      </c>
      <c r="C10" s="173"/>
      <c r="D10" s="44"/>
      <c r="E10" s="44"/>
      <c r="F10" s="44"/>
      <c r="G10" s="44"/>
      <c r="H10" s="44">
        <f t="shared" ref="H10" si="0">SUM(H11:H12)</f>
        <v>182237</v>
      </c>
      <c r="I10" s="44">
        <f t="shared" ref="I10" si="1">SUM(I11:I12)</f>
        <v>202299</v>
      </c>
      <c r="J10" s="44">
        <f t="shared" ref="J10" si="2">SUM(J11:J12)</f>
        <v>202177</v>
      </c>
      <c r="K10" s="44">
        <f t="shared" ref="K10" si="3">SUM(K11:K12)</f>
        <v>241089</v>
      </c>
      <c r="L10" s="44">
        <f t="shared" ref="L10" si="4">SUM(L11:L12)</f>
        <v>212479</v>
      </c>
      <c r="M10" s="44">
        <f t="shared" ref="M10:O10" si="5">SUM(M11:M12)</f>
        <v>210782</v>
      </c>
      <c r="N10" s="44">
        <f t="shared" si="5"/>
        <v>220495</v>
      </c>
      <c r="O10" s="44">
        <f t="shared" si="5"/>
        <v>233837</v>
      </c>
      <c r="P10" s="44">
        <f>SUM(P11:P12)</f>
        <v>224536</v>
      </c>
      <c r="Q10" s="44">
        <f t="shared" ref="Q10" si="6">SUM(Q11:Q12)</f>
        <v>237408</v>
      </c>
      <c r="R10" s="44">
        <f t="shared" ref="R10" si="7">SUM(R11:R12)</f>
        <v>244126</v>
      </c>
      <c r="S10" s="44"/>
      <c r="T10" s="8"/>
    </row>
    <row r="11" spans="2:20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/>
      <c r="T11" s="8"/>
    </row>
    <row r="12" spans="2:20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/>
      <c r="T12" s="8"/>
    </row>
    <row r="13" spans="2:20" ht="12" customHeight="1" x14ac:dyDescent="0.2">
      <c r="B13" s="173" t="s">
        <v>33</v>
      </c>
      <c r="C13" s="173"/>
      <c r="D13" s="44"/>
      <c r="E13" s="44"/>
      <c r="F13" s="44"/>
      <c r="G13" s="44"/>
      <c r="H13" s="44">
        <f t="shared" ref="H13" si="8">SUM(H14:H15)</f>
        <v>-124522</v>
      </c>
      <c r="I13" s="44">
        <f t="shared" ref="I13" si="9">SUM(I14:I15)</f>
        <v>-136676</v>
      </c>
      <c r="J13" s="44">
        <f t="shared" ref="J13" si="10">SUM(J14:J15)</f>
        <v>-139161</v>
      </c>
      <c r="K13" s="44">
        <f t="shared" ref="K13" si="11">SUM(K14:K15)</f>
        <v>-168538</v>
      </c>
      <c r="L13" s="44">
        <f t="shared" ref="L13" si="12">SUM(L14:L15)</f>
        <v>-149282</v>
      </c>
      <c r="M13" s="44">
        <f t="shared" ref="M13:R13" si="13">SUM(M14:M15)</f>
        <v>-147923</v>
      </c>
      <c r="N13" s="44">
        <f t="shared" si="13"/>
        <v>-163962</v>
      </c>
      <c r="O13" s="44">
        <f t="shared" si="13"/>
        <v>-178664</v>
      </c>
      <c r="P13" s="44">
        <f t="shared" si="13"/>
        <v>-161553</v>
      </c>
      <c r="Q13" s="44">
        <f t="shared" si="13"/>
        <v>-175857</v>
      </c>
      <c r="R13" s="44">
        <f t="shared" si="13"/>
        <v>-184835</v>
      </c>
      <c r="S13" s="44"/>
      <c r="T13" s="8"/>
    </row>
    <row r="14" spans="2:20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/>
      <c r="T14" s="8"/>
    </row>
    <row r="15" spans="2:20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-159313</v>
      </c>
      <c r="Q15" s="9">
        <v>-174182</v>
      </c>
      <c r="R15" s="10">
        <v>-180897</v>
      </c>
      <c r="S15" s="10"/>
      <c r="T15" s="8"/>
    </row>
    <row r="16" spans="2:20" ht="12" customHeight="1" x14ac:dyDescent="0.2">
      <c r="B16" s="173" t="s">
        <v>3</v>
      </c>
      <c r="C16" s="173"/>
      <c r="D16" s="44"/>
      <c r="E16" s="44"/>
      <c r="F16" s="44"/>
      <c r="G16" s="44"/>
      <c r="H16" s="44">
        <f t="shared" ref="H16:K16" si="14">H10+H13</f>
        <v>57715</v>
      </c>
      <c r="I16" s="44">
        <f t="shared" si="14"/>
        <v>65623</v>
      </c>
      <c r="J16" s="44">
        <f t="shared" si="14"/>
        <v>63016</v>
      </c>
      <c r="K16" s="44">
        <f t="shared" si="14"/>
        <v>72551</v>
      </c>
      <c r="L16" s="44">
        <f t="shared" ref="L16" si="15">L10+L13</f>
        <v>63197</v>
      </c>
      <c r="M16" s="44">
        <f t="shared" ref="M16:R16" si="16">M10+M13</f>
        <v>62859</v>
      </c>
      <c r="N16" s="44">
        <f t="shared" si="16"/>
        <v>56533</v>
      </c>
      <c r="O16" s="44">
        <f t="shared" si="16"/>
        <v>55173</v>
      </c>
      <c r="P16" s="44">
        <f t="shared" si="16"/>
        <v>62983</v>
      </c>
      <c r="Q16" s="44">
        <f t="shared" si="16"/>
        <v>61551</v>
      </c>
      <c r="R16" s="44">
        <f t="shared" si="16"/>
        <v>59291</v>
      </c>
      <c r="S16" s="44"/>
      <c r="T16" s="8"/>
    </row>
    <row r="17" spans="2:42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4"/>
      <c r="T17" s="8"/>
    </row>
    <row r="18" spans="2:42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-30623</v>
      </c>
      <c r="S18" s="14"/>
      <c r="T18" s="8"/>
    </row>
    <row r="19" spans="2:42" ht="12" customHeight="1" x14ac:dyDescent="0.2">
      <c r="B19" s="173" t="s">
        <v>6</v>
      </c>
      <c r="C19" s="173"/>
      <c r="D19" s="44"/>
      <c r="E19" s="44"/>
      <c r="F19" s="44"/>
      <c r="G19" s="44"/>
      <c r="H19" s="44">
        <f t="shared" ref="H19" si="17">SUM(H16:H18)</f>
        <v>20311</v>
      </c>
      <c r="I19" s="44">
        <f t="shared" ref="I19" si="18">SUM(I16:I18)</f>
        <v>25490</v>
      </c>
      <c r="J19" s="44">
        <f t="shared" ref="J19" si="19">SUM(J16:J18)</f>
        <v>23950</v>
      </c>
      <c r="K19" s="44">
        <f t="shared" ref="K19" si="20">SUM(K16:K18)</f>
        <v>27119</v>
      </c>
      <c r="L19" s="44">
        <f t="shared" ref="L19" si="21">SUM(L16:L18)</f>
        <v>22167</v>
      </c>
      <c r="M19" s="44">
        <f t="shared" ref="M19:R19" si="22">SUM(M16:M18)</f>
        <v>20675</v>
      </c>
      <c r="N19" s="44">
        <f t="shared" si="22"/>
        <v>17636</v>
      </c>
      <c r="O19" s="44">
        <f t="shared" si="22"/>
        <v>14056</v>
      </c>
      <c r="P19" s="44">
        <f t="shared" si="22"/>
        <v>21539</v>
      </c>
      <c r="Q19" s="44">
        <f t="shared" si="22"/>
        <v>22845</v>
      </c>
      <c r="R19" s="44">
        <f t="shared" si="22"/>
        <v>21294</v>
      </c>
      <c r="S19" s="44"/>
      <c r="T19" s="8"/>
    </row>
    <row r="20" spans="2:42" ht="12" customHeight="1" x14ac:dyDescent="0.2">
      <c r="B20" s="173" t="s">
        <v>34</v>
      </c>
      <c r="C20" s="173"/>
      <c r="D20" s="44"/>
      <c r="E20" s="44"/>
      <c r="F20" s="44"/>
      <c r="G20" s="44"/>
      <c r="H20" s="44">
        <f t="shared" ref="H20" si="23">SUM(H21:H22)</f>
        <v>-1001</v>
      </c>
      <c r="I20" s="44">
        <f t="shared" ref="I20" si="24">SUM(I21:I22)</f>
        <v>-575</v>
      </c>
      <c r="J20" s="44">
        <f t="shared" ref="J20" si="25">SUM(J21:J22)</f>
        <v>-788.95153201599896</v>
      </c>
      <c r="K20" s="44">
        <f t="shared" ref="K20" si="26">SUM(K21:K22)</f>
        <v>-4722.048467984001</v>
      </c>
      <c r="L20" s="44">
        <f t="shared" ref="L20" si="27">SUM(L21:L22)</f>
        <v>-783</v>
      </c>
      <c r="M20" s="44">
        <f t="shared" ref="M20:R20" si="28">SUM(M21:M22)</f>
        <v>-1064</v>
      </c>
      <c r="N20" s="44">
        <f t="shared" si="28"/>
        <v>-3020.0043700000015</v>
      </c>
      <c r="O20" s="44">
        <f t="shared" si="28"/>
        <v>5357.0043700000015</v>
      </c>
      <c r="P20" s="44">
        <f t="shared" si="28"/>
        <v>-1149</v>
      </c>
      <c r="Q20" s="44">
        <f t="shared" si="28"/>
        <v>-3225</v>
      </c>
      <c r="R20" s="44">
        <f t="shared" si="28"/>
        <v>-1989.1961699999993</v>
      </c>
      <c r="S20" s="44"/>
      <c r="T20" s="8"/>
    </row>
    <row r="21" spans="2:42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7595.6926300000014</v>
      </c>
      <c r="S21" s="7"/>
      <c r="T21" s="8"/>
    </row>
    <row r="22" spans="2:42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-3367</v>
      </c>
      <c r="Q22" s="14">
        <v>-4091</v>
      </c>
      <c r="R22" s="14">
        <v>-9584.8888000000006</v>
      </c>
      <c r="S22" s="7"/>
      <c r="T22" s="8"/>
    </row>
    <row r="23" spans="2:42" s="15" customFormat="1" ht="12" customHeight="1" x14ac:dyDescent="0.2">
      <c r="B23" s="197" t="s">
        <v>7</v>
      </c>
      <c r="C23" s="198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459</v>
      </c>
      <c r="S23" s="7"/>
      <c r="T23" s="8"/>
      <c r="U23" s="3"/>
      <c r="V23" s="3"/>
      <c r="W23" s="3"/>
      <c r="X23" s="3"/>
      <c r="Y23" s="3"/>
      <c r="Z23" s="3"/>
      <c r="AA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2:42" s="15" customFormat="1" ht="12" customHeight="1" x14ac:dyDescent="0.2">
      <c r="B24" s="197" t="s">
        <v>27</v>
      </c>
      <c r="C24" s="198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/>
      <c r="T24" s="8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2:42" ht="12" customHeight="1" x14ac:dyDescent="0.2">
      <c r="B25" s="173" t="s">
        <v>8</v>
      </c>
      <c r="C25" s="173"/>
      <c r="D25" s="44"/>
      <c r="E25" s="44"/>
      <c r="F25" s="44"/>
      <c r="G25" s="44"/>
      <c r="H25" s="44">
        <f t="shared" ref="H25:R25" si="29">SUM(H19:H20)+H23+H24</f>
        <v>19467</v>
      </c>
      <c r="I25" s="44">
        <f t="shared" si="29"/>
        <v>25211</v>
      </c>
      <c r="J25" s="44">
        <f t="shared" si="29"/>
        <v>23641.048467984001</v>
      </c>
      <c r="K25" s="44">
        <f t="shared" si="29"/>
        <v>22805.951532015999</v>
      </c>
      <c r="L25" s="44">
        <f t="shared" si="29"/>
        <v>21619</v>
      </c>
      <c r="M25" s="44">
        <f t="shared" si="29"/>
        <v>19939</v>
      </c>
      <c r="N25" s="44">
        <f t="shared" si="29"/>
        <v>15218.995629999998</v>
      </c>
      <c r="O25" s="44">
        <f t="shared" si="29"/>
        <v>19640.004370000002</v>
      </c>
      <c r="P25" s="44">
        <f t="shared" si="29"/>
        <v>20384</v>
      </c>
      <c r="Q25" s="44">
        <f t="shared" si="29"/>
        <v>20026</v>
      </c>
      <c r="R25" s="44">
        <f t="shared" si="29"/>
        <v>19763.803830000001</v>
      </c>
      <c r="S25" s="44"/>
      <c r="T25" s="8"/>
    </row>
    <row r="26" spans="2:42" ht="12" customHeight="1" x14ac:dyDescent="0.2">
      <c r="B26" s="173" t="s">
        <v>37</v>
      </c>
      <c r="C26" s="173"/>
      <c r="D26" s="44"/>
      <c r="E26" s="44"/>
      <c r="F26" s="44"/>
      <c r="G26" s="44"/>
      <c r="H26" s="44">
        <f t="shared" ref="H26" si="30">SUM(H27:H28)</f>
        <v>56</v>
      </c>
      <c r="I26" s="44">
        <f t="shared" ref="I26" si="31">SUM(I27:I28)</f>
        <v>1357</v>
      </c>
      <c r="J26" s="44">
        <f t="shared" ref="J26" si="32">SUM(J27:J28)</f>
        <v>-910.61839000000236</v>
      </c>
      <c r="K26" s="44">
        <f t="shared" ref="K26" si="33">SUM(K27:K28)</f>
        <v>146.61839000000236</v>
      </c>
      <c r="L26" s="44">
        <f t="shared" ref="L26" si="34">SUM(L27:L28)</f>
        <v>208</v>
      </c>
      <c r="M26" s="44">
        <f t="shared" ref="M26:R26" si="35">SUM(M27:M28)</f>
        <v>-597</v>
      </c>
      <c r="N26" s="44">
        <f t="shared" si="35"/>
        <v>-422.33050000000821</v>
      </c>
      <c r="O26" s="44">
        <f t="shared" si="35"/>
        <v>-1721.6694999999918</v>
      </c>
      <c r="P26" s="44">
        <f t="shared" si="35"/>
        <v>3791</v>
      </c>
      <c r="Q26" s="44">
        <f t="shared" si="35"/>
        <v>-353</v>
      </c>
      <c r="R26" s="44">
        <f t="shared" si="35"/>
        <v>1021.1312677904007</v>
      </c>
      <c r="S26" s="44"/>
      <c r="T26" s="8"/>
    </row>
    <row r="27" spans="2:42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7"/>
      <c r="T27" s="8"/>
      <c r="W27" s="15"/>
      <c r="AA27" s="15"/>
    </row>
    <row r="28" spans="2:42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7"/>
      <c r="T28" s="8"/>
      <c r="AB28" s="15"/>
      <c r="AC28" s="15"/>
      <c r="AD28" s="15"/>
      <c r="AE28" s="15"/>
    </row>
    <row r="29" spans="2:42" s="15" customFormat="1" ht="12" customHeight="1" x14ac:dyDescent="0.2">
      <c r="B29" s="197" t="s">
        <v>28</v>
      </c>
      <c r="C29" s="198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/>
      <c r="T29" s="8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2:42" ht="12" customHeight="1" x14ac:dyDescent="0.2">
      <c r="B30" s="173" t="s">
        <v>9</v>
      </c>
      <c r="C30" s="173"/>
      <c r="D30" s="44"/>
      <c r="E30" s="44"/>
      <c r="F30" s="44"/>
      <c r="G30" s="44"/>
      <c r="H30" s="44" cm="1">
        <f t="array" ref="H30">SUM(H25:H26+H29)</f>
        <v>19523</v>
      </c>
      <c r="I30" s="44" cm="1">
        <f t="array" ref="I30">SUM(I25:I26+I29)</f>
        <v>26568</v>
      </c>
      <c r="J30" s="44" cm="1">
        <f t="array" ref="J30">SUM(J25:J26+J29)</f>
        <v>22730.430077983998</v>
      </c>
      <c r="K30" s="44" cm="1">
        <f t="array" ref="K30">SUM(K25:K26+K29)</f>
        <v>22952.569922016002</v>
      </c>
      <c r="L30" s="44" cm="1">
        <f t="array" ref="L30">SUM(L25:L26+L29)</f>
        <v>21827</v>
      </c>
      <c r="M30" s="44" cm="1">
        <f t="array" ref="M30">SUM(M25:M26+M29)</f>
        <v>19342</v>
      </c>
      <c r="N30" s="44" cm="1">
        <f t="array" ref="N30">SUM(N25:N26+N29)</f>
        <v>14796.66512999999</v>
      </c>
      <c r="O30" s="44" cm="1">
        <f t="array" ref="O30">SUM(O25:O26+O29)</f>
        <v>17918.33487000001</v>
      </c>
      <c r="P30" s="44" cm="1">
        <f t="array" ref="P30">SUM(P25:P26+P29)</f>
        <v>24175</v>
      </c>
      <c r="Q30" s="44" cm="1">
        <f t="array" ref="Q30">SUM(Q25:Q26+Q29)</f>
        <v>19673</v>
      </c>
      <c r="R30" s="44" cm="1">
        <f t="array" ref="R30">SUM(R25:R26+R29)</f>
        <v>20784.935097790403</v>
      </c>
      <c r="S30" s="44"/>
      <c r="T30" s="8"/>
    </row>
    <row r="31" spans="2:42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/>
      <c r="T31" s="8"/>
    </row>
    <row r="32" spans="2:42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10"/>
      <c r="T32" s="8"/>
      <c r="AB32" s="15"/>
      <c r="AC32" s="15"/>
      <c r="AD32" s="15"/>
      <c r="AE32" s="15"/>
    </row>
    <row r="33" spans="2:42" ht="12" customHeight="1" x14ac:dyDescent="0.2">
      <c r="B33" s="173" t="s">
        <v>12</v>
      </c>
      <c r="C33" s="173"/>
      <c r="D33" s="44"/>
      <c r="E33" s="44"/>
      <c r="F33" s="44"/>
      <c r="G33" s="44"/>
      <c r="H33" s="44">
        <f t="shared" ref="H33" si="36">SUM(H30:H32)</f>
        <v>14604</v>
      </c>
      <c r="I33" s="44">
        <f t="shared" ref="I33" si="37">SUM(I30:I32)</f>
        <v>21420</v>
      </c>
      <c r="J33" s="44">
        <f t="shared" ref="J33" si="38">SUM(J30:J32)</f>
        <v>17245.430077983998</v>
      </c>
      <c r="K33" s="44">
        <f t="shared" ref="K33" si="39">SUM(K30:K32)</f>
        <v>15966.569922016002</v>
      </c>
      <c r="L33" s="44">
        <f t="shared" ref="L33" si="40">SUM(L30:L32)</f>
        <v>15427</v>
      </c>
      <c r="M33" s="44">
        <f t="shared" ref="M33:R33" si="41">SUM(M30:M32)</f>
        <v>15399</v>
      </c>
      <c r="N33" s="44">
        <f t="shared" si="41"/>
        <v>10709.66512999999</v>
      </c>
      <c r="O33" s="44">
        <f t="shared" si="41"/>
        <v>13751.33487000001</v>
      </c>
      <c r="P33" s="44">
        <f t="shared" si="41"/>
        <v>17337</v>
      </c>
      <c r="Q33" s="44">
        <f t="shared" si="41"/>
        <v>15082</v>
      </c>
      <c r="R33" s="44">
        <f t="shared" si="41"/>
        <v>16908.935097790403</v>
      </c>
      <c r="S33" s="44"/>
      <c r="T33" s="8"/>
    </row>
    <row r="34" spans="2:42" s="15" customFormat="1" ht="12" customHeight="1" x14ac:dyDescent="0.2">
      <c r="B34" s="199" t="s">
        <v>13</v>
      </c>
      <c r="C34" s="200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7"/>
      <c r="T34" s="8"/>
      <c r="U34" s="3"/>
      <c r="V34" s="3"/>
      <c r="W34" s="3"/>
      <c r="X34" s="3"/>
      <c r="Y34" s="3"/>
      <c r="Z34" s="3"/>
      <c r="AA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2:42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/>
      <c r="T35" s="8"/>
    </row>
    <row r="36" spans="2:42" s="15" customFormat="1" ht="12" customHeight="1" x14ac:dyDescent="0.2">
      <c r="B36" s="199" t="s">
        <v>15</v>
      </c>
      <c r="C36" s="200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8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2:42" ht="12" customHeight="1" x14ac:dyDescent="0.2">
      <c r="B37" s="173" t="s">
        <v>16</v>
      </c>
      <c r="C37" s="173"/>
      <c r="D37" s="44"/>
      <c r="E37" s="44"/>
      <c r="F37" s="44"/>
      <c r="G37" s="44"/>
      <c r="H37" s="44">
        <f t="shared" ref="H37:K37" si="42">H33+H35</f>
        <v>15144</v>
      </c>
      <c r="I37" s="44">
        <f t="shared" si="42"/>
        <v>21543</v>
      </c>
      <c r="J37" s="44">
        <f t="shared" si="42"/>
        <v>17631.430077983998</v>
      </c>
      <c r="K37" s="44">
        <f t="shared" si="42"/>
        <v>16086.569922016002</v>
      </c>
      <c r="L37" s="44">
        <f t="shared" ref="L37" si="43">L33+L35</f>
        <v>15427</v>
      </c>
      <c r="M37" s="44">
        <f>M33+M35</f>
        <v>15399</v>
      </c>
      <c r="N37" s="44">
        <f>N33+N35</f>
        <v>10709.66512999999</v>
      </c>
      <c r="O37" s="44">
        <f>O33+O35</f>
        <v>13751.33487000001</v>
      </c>
      <c r="P37" s="44">
        <f>P33+P35</f>
        <v>17337</v>
      </c>
      <c r="Q37" s="44">
        <f t="shared" ref="Q37:R37" si="44">Q33+Q35</f>
        <v>15082</v>
      </c>
      <c r="R37" s="44">
        <f t="shared" si="44"/>
        <v>16908.935097790403</v>
      </c>
      <c r="S37" s="44"/>
      <c r="T37" s="8"/>
    </row>
    <row r="38" spans="2:42" s="15" customFormat="1" ht="12" customHeight="1" x14ac:dyDescent="0.2">
      <c r="B38" s="199"/>
      <c r="C38" s="200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7"/>
      <c r="T38" s="8"/>
      <c r="U38" s="3"/>
      <c r="V38" s="3"/>
      <c r="W38" s="3"/>
      <c r="X38" s="3"/>
      <c r="Y38" s="3"/>
      <c r="Z38" s="3"/>
      <c r="AA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2:42" ht="12" customHeight="1" x14ac:dyDescent="0.2">
      <c r="B39" s="173" t="s">
        <v>8</v>
      </c>
      <c r="C39" s="173"/>
      <c r="D39" s="44"/>
      <c r="E39" s="44"/>
      <c r="F39" s="44"/>
      <c r="G39" s="44"/>
      <c r="H39" s="44">
        <f t="shared" ref="H39:R39" si="45">H25</f>
        <v>19467</v>
      </c>
      <c r="I39" s="44">
        <f t="shared" si="45"/>
        <v>25211</v>
      </c>
      <c r="J39" s="44">
        <f t="shared" si="45"/>
        <v>23641.048467984001</v>
      </c>
      <c r="K39" s="44">
        <f t="shared" si="45"/>
        <v>22805.951532015999</v>
      </c>
      <c r="L39" s="44">
        <f t="shared" si="45"/>
        <v>21619</v>
      </c>
      <c r="M39" s="44">
        <f t="shared" si="45"/>
        <v>19939</v>
      </c>
      <c r="N39" s="44">
        <f t="shared" si="45"/>
        <v>15218.995629999998</v>
      </c>
      <c r="O39" s="44">
        <f t="shared" si="45"/>
        <v>19640.004370000002</v>
      </c>
      <c r="P39" s="44">
        <f t="shared" si="45"/>
        <v>20384</v>
      </c>
      <c r="Q39" s="44">
        <f t="shared" si="45"/>
        <v>20026</v>
      </c>
      <c r="R39" s="44">
        <f t="shared" si="45"/>
        <v>19763.803830000001</v>
      </c>
      <c r="S39" s="44"/>
      <c r="T39" s="8"/>
    </row>
    <row r="40" spans="2:42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/>
      <c r="T40" s="8"/>
    </row>
    <row r="41" spans="2:42" ht="12" customHeight="1" x14ac:dyDescent="0.2">
      <c r="B41" s="173" t="s">
        <v>23</v>
      </c>
      <c r="C41" s="173"/>
      <c r="D41" s="44"/>
      <c r="E41" s="44"/>
      <c r="F41" s="44"/>
      <c r="G41" s="44"/>
      <c r="H41" s="44">
        <f t="shared" ref="H41:R41" si="46">SUM(H39:H40)</f>
        <v>29504</v>
      </c>
      <c r="I41" s="44">
        <f t="shared" si="46"/>
        <v>35550</v>
      </c>
      <c r="J41" s="44">
        <f t="shared" si="46"/>
        <v>34201.048467984001</v>
      </c>
      <c r="K41" s="44">
        <f t="shared" si="46"/>
        <v>33651.951532015999</v>
      </c>
      <c r="L41" s="44">
        <f t="shared" si="46"/>
        <v>33315</v>
      </c>
      <c r="M41" s="44">
        <f t="shared" si="46"/>
        <v>32914</v>
      </c>
      <c r="N41" s="44">
        <f t="shared" si="46"/>
        <v>27579.995629999998</v>
      </c>
      <c r="O41" s="44">
        <f t="shared" si="46"/>
        <v>32479.004370000002</v>
      </c>
      <c r="P41" s="44">
        <f t="shared" si="46"/>
        <v>33173</v>
      </c>
      <c r="Q41" s="44">
        <f t="shared" si="46"/>
        <v>33007</v>
      </c>
      <c r="R41" s="44">
        <f t="shared" si="46"/>
        <v>33482.803830000004</v>
      </c>
      <c r="S41" s="44"/>
      <c r="T41" s="8"/>
    </row>
    <row r="42" spans="2:42" ht="12" customHeight="1" x14ac:dyDescent="0.2">
      <c r="B42" s="11" t="s">
        <v>228</v>
      </c>
      <c r="C42" s="12"/>
      <c r="D42" s="9"/>
      <c r="E42" s="9"/>
      <c r="F42" s="9"/>
      <c r="G42" s="9"/>
      <c r="H42" s="100">
        <f t="shared" ref="H42:R42" si="47">H41/H10</f>
        <v>0.16189906550261474</v>
      </c>
      <c r="I42" s="100">
        <f t="shared" si="47"/>
        <v>0.1757299838358074</v>
      </c>
      <c r="J42" s="100">
        <f t="shared" si="47"/>
        <v>0.16916389336068891</v>
      </c>
      <c r="K42" s="100">
        <f t="shared" si="47"/>
        <v>0.13958310637157231</v>
      </c>
      <c r="L42" s="100">
        <f t="shared" si="47"/>
        <v>0.15679196532363199</v>
      </c>
      <c r="M42" s="100">
        <f t="shared" si="47"/>
        <v>0.15615185357383457</v>
      </c>
      <c r="N42" s="100">
        <f t="shared" si="47"/>
        <v>0.12508218159141929</v>
      </c>
      <c r="O42" s="100">
        <f t="shared" si="47"/>
        <v>0.13889591625790615</v>
      </c>
      <c r="P42" s="100">
        <f t="shared" si="47"/>
        <v>0.14774022873837603</v>
      </c>
      <c r="Q42" s="100">
        <f t="shared" si="47"/>
        <v>0.13903069820730557</v>
      </c>
      <c r="R42" s="100">
        <f t="shared" si="47"/>
        <v>0.13715378054774996</v>
      </c>
      <c r="S42" s="101"/>
      <c r="T42" s="8"/>
    </row>
    <row r="43" spans="2:42" ht="12" customHeight="1" x14ac:dyDescent="0.2">
      <c r="B43" s="11"/>
      <c r="C43" s="12" t="s">
        <v>254</v>
      </c>
      <c r="D43" s="9"/>
      <c r="E43" s="9"/>
      <c r="F43" s="9"/>
      <c r="G43" s="9"/>
      <c r="H43" s="105">
        <f t="shared" ref="H43:R43" si="48">H60/H77*1000</f>
        <v>0.48629092702931653</v>
      </c>
      <c r="I43" s="105">
        <f t="shared" si="48"/>
        <v>0.68601449996984343</v>
      </c>
      <c r="J43" s="105">
        <f t="shared" si="48"/>
        <v>0.57858864395856124</v>
      </c>
      <c r="K43" s="105">
        <f t="shared" si="48"/>
        <v>0.5507330578642875</v>
      </c>
      <c r="L43" s="105">
        <f t="shared" si="48"/>
        <v>0.51925168977184322</v>
      </c>
      <c r="M43" s="105">
        <f t="shared" si="48"/>
        <v>0.50184838239823248</v>
      </c>
      <c r="N43" s="105">
        <f t="shared" si="48"/>
        <v>0.49119321996232679</v>
      </c>
      <c r="O43" s="105">
        <f t="shared" si="48"/>
        <v>0.31318925552976346</v>
      </c>
      <c r="P43" s="105">
        <f t="shared" si="48"/>
        <v>0.57807041665457937</v>
      </c>
      <c r="Q43" s="105">
        <f t="shared" si="48"/>
        <v>0.49119492186761721</v>
      </c>
      <c r="R43" s="105">
        <f t="shared" si="48"/>
        <v>0.5710843290881007</v>
      </c>
      <c r="S43" s="105"/>
      <c r="T43" s="8"/>
    </row>
    <row r="44" spans="2:42" ht="12" customHeight="1" x14ac:dyDescent="0.2">
      <c r="H44" s="104" t="s">
        <v>255</v>
      </c>
      <c r="T44" s="8"/>
    </row>
    <row r="45" spans="2:42" s="15" customFormat="1" ht="12" customHeight="1" x14ac:dyDescent="0.2">
      <c r="B45" s="201"/>
      <c r="C45" s="201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8"/>
      <c r="U45" s="3"/>
      <c r="V45" s="3"/>
      <c r="W45" s="3"/>
      <c r="X45" s="3"/>
      <c r="Y45" s="3"/>
      <c r="Z45" s="3"/>
      <c r="AA45" s="3"/>
      <c r="AF45" s="3"/>
    </row>
    <row r="46" spans="2:42" s="15" customFormat="1" ht="12" customHeight="1" x14ac:dyDescent="0.2">
      <c r="B46" s="116"/>
      <c r="C46" s="116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8"/>
      <c r="U46" s="3"/>
      <c r="V46" s="3"/>
      <c r="W46" s="3"/>
      <c r="X46" s="3"/>
      <c r="Y46" s="3"/>
      <c r="Z46" s="3"/>
      <c r="AA46" s="3"/>
      <c r="AF46" s="3"/>
    </row>
    <row r="47" spans="2:42" ht="12" customHeight="1" x14ac:dyDescent="0.2">
      <c r="B47" s="199" t="s">
        <v>38</v>
      </c>
      <c r="C47" s="200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8"/>
    </row>
    <row r="48" spans="2:42" ht="12" customHeight="1" x14ac:dyDescent="0.2">
      <c r="B48" s="173" t="s">
        <v>39</v>
      </c>
      <c r="C48" s="173"/>
      <c r="D48" s="44"/>
      <c r="E48" s="44"/>
      <c r="F48" s="44"/>
      <c r="G48" s="44"/>
      <c r="H48" s="44">
        <f t="shared" ref="H48:K48" si="49">SUM(H50:H53)+SUM(H55:H57)</f>
        <v>-108</v>
      </c>
      <c r="I48" s="44">
        <f t="shared" si="49"/>
        <v>-1587</v>
      </c>
      <c r="J48" s="44">
        <f t="shared" si="49"/>
        <v>1592</v>
      </c>
      <c r="K48" s="44">
        <f t="shared" si="49"/>
        <v>-1563</v>
      </c>
      <c r="L48" s="44">
        <f>SUM(L50:L53)+SUM(L55:L57)</f>
        <v>1393</v>
      </c>
      <c r="M48" s="44">
        <f t="shared" ref="M48:R48" si="50">SUM(M50:M53)+SUM(M55:M57)</f>
        <v>-375</v>
      </c>
      <c r="N48" s="44">
        <f t="shared" si="50"/>
        <v>-197</v>
      </c>
      <c r="O48" s="44">
        <f t="shared" si="50"/>
        <v>2668</v>
      </c>
      <c r="P48" s="44">
        <f t="shared" si="50"/>
        <v>-4822</v>
      </c>
      <c r="Q48" s="44">
        <f t="shared" si="50"/>
        <v>572</v>
      </c>
      <c r="R48" s="44">
        <f t="shared" si="50"/>
        <v>-1886</v>
      </c>
      <c r="S48" s="44"/>
      <c r="T48" s="8"/>
    </row>
    <row r="49" spans="2:20" ht="12" customHeight="1" x14ac:dyDescent="0.2">
      <c r="B49" s="22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>
        <v>0</v>
      </c>
      <c r="R49" s="14"/>
      <c r="S49" s="14"/>
      <c r="T49" s="8"/>
    </row>
    <row r="50" spans="2:20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/>
      <c r="T50" s="8"/>
    </row>
    <row r="51" spans="2:20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/>
      <c r="T51" s="8"/>
    </row>
    <row r="52" spans="2:20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/>
      <c r="T52" s="8"/>
    </row>
    <row r="53" spans="2:20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/>
      <c r="T53" s="8"/>
    </row>
    <row r="54" spans="2:20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8"/>
    </row>
    <row r="55" spans="2:20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/>
      <c r="T55" s="8"/>
    </row>
    <row r="56" spans="2:20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/>
      <c r="T56" s="8"/>
    </row>
    <row r="57" spans="2:20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/>
      <c r="T57" s="8"/>
    </row>
    <row r="58" spans="2:20" ht="12" customHeight="1" x14ac:dyDescent="0.2">
      <c r="B58" s="173" t="s">
        <v>19</v>
      </c>
      <c r="C58" s="173"/>
      <c r="D58" s="44"/>
      <c r="E58" s="44"/>
      <c r="F58" s="44"/>
      <c r="G58" s="44"/>
      <c r="H58" s="44">
        <f t="shared" ref="H58:R58" si="51">H37+H48</f>
        <v>15036</v>
      </c>
      <c r="I58" s="44">
        <f t="shared" si="51"/>
        <v>19956</v>
      </c>
      <c r="J58" s="44">
        <f t="shared" si="51"/>
        <v>19223.430077983998</v>
      </c>
      <c r="K58" s="44">
        <f t="shared" si="51"/>
        <v>14523.569922016002</v>
      </c>
      <c r="L58" s="44">
        <f t="shared" si="51"/>
        <v>16820</v>
      </c>
      <c r="M58" s="44">
        <f t="shared" si="51"/>
        <v>15024</v>
      </c>
      <c r="N58" s="44">
        <f t="shared" si="51"/>
        <v>10512.66512999999</v>
      </c>
      <c r="O58" s="44">
        <f t="shared" si="51"/>
        <v>16419.33487000001</v>
      </c>
      <c r="P58" s="44">
        <f t="shared" si="51"/>
        <v>12515</v>
      </c>
      <c r="Q58" s="44">
        <f t="shared" si="51"/>
        <v>15654</v>
      </c>
      <c r="R58" s="44">
        <f t="shared" si="51"/>
        <v>15022.935097790403</v>
      </c>
      <c r="S58" s="44"/>
      <c r="T58" s="8"/>
    </row>
    <row r="59" spans="2:20" ht="12" customHeight="1" x14ac:dyDescent="0.2">
      <c r="B59" s="173" t="s">
        <v>20</v>
      </c>
      <c r="C59" s="173"/>
      <c r="D59" s="44"/>
      <c r="E59" s="44"/>
      <c r="F59" s="44"/>
      <c r="G59" s="44"/>
      <c r="H59" s="44">
        <f t="shared" ref="H59" si="52">SUM(H60:H61)</f>
        <v>15144</v>
      </c>
      <c r="I59" s="44">
        <f t="shared" ref="I59" si="53">SUM(I60:I61)</f>
        <v>21543</v>
      </c>
      <c r="J59" s="44">
        <f t="shared" ref="J59" si="54">SUM(J60:J61)</f>
        <v>17632</v>
      </c>
      <c r="K59" s="44">
        <f t="shared" ref="K59" si="55">SUM(K60:K61)</f>
        <v>16086</v>
      </c>
      <c r="L59" s="44">
        <f t="shared" ref="L59" si="56">SUM(L60:L61)</f>
        <v>15427</v>
      </c>
      <c r="M59" s="44">
        <f t="shared" ref="M59" si="57">SUM(M60:M61)</f>
        <v>15399</v>
      </c>
      <c r="N59" s="44">
        <f t="shared" ref="N59:O59" si="58">SUM(N60:N61)</f>
        <v>14534</v>
      </c>
      <c r="O59" s="44">
        <f t="shared" si="58"/>
        <v>9927</v>
      </c>
      <c r="P59" s="44">
        <f>SUM(P60:P61)</f>
        <v>17337</v>
      </c>
      <c r="Q59" s="44">
        <f t="shared" ref="Q59:R59" si="59">SUM(Q60:Q61)</f>
        <v>15082</v>
      </c>
      <c r="R59" s="44">
        <f t="shared" si="59"/>
        <v>16909</v>
      </c>
      <c r="S59" s="44"/>
      <c r="T59" s="8"/>
    </row>
    <row r="60" spans="2:20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/>
      <c r="T60" s="8"/>
    </row>
    <row r="61" spans="2:20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/>
      <c r="T61" s="8"/>
    </row>
    <row r="62" spans="2:20" ht="12" customHeight="1" x14ac:dyDescent="0.2">
      <c r="B62" s="173" t="s">
        <v>21</v>
      </c>
      <c r="C62" s="173"/>
      <c r="D62" s="44"/>
      <c r="E62" s="44"/>
      <c r="F62" s="44"/>
      <c r="G62" s="44"/>
      <c r="H62" s="44">
        <f t="shared" ref="H62" si="60">SUM(H63:H64)</f>
        <v>15036</v>
      </c>
      <c r="I62" s="44">
        <f t="shared" ref="I62" si="61">SUM(I63:I64)</f>
        <v>19956</v>
      </c>
      <c r="J62" s="44">
        <f t="shared" ref="J62" si="62">SUM(J63:J64)</f>
        <v>19224</v>
      </c>
      <c r="K62" s="44">
        <f t="shared" ref="K62" si="63">SUM(K63:K64)</f>
        <v>14523</v>
      </c>
      <c r="L62" s="44">
        <f t="shared" ref="L62" si="64">SUM(L63:L64)</f>
        <v>16820</v>
      </c>
      <c r="M62" s="44">
        <f t="shared" ref="M62" si="65">SUM(M63:M64)</f>
        <v>15024</v>
      </c>
      <c r="N62" s="44">
        <f t="shared" ref="N62:O62" si="66">SUM(N63:N64)</f>
        <v>14337</v>
      </c>
      <c r="O62" s="44">
        <f t="shared" si="66"/>
        <v>12595</v>
      </c>
      <c r="P62" s="44">
        <f>SUM(P63:P64)</f>
        <v>12515</v>
      </c>
      <c r="Q62" s="44">
        <f t="shared" ref="Q62:R62" si="67">SUM(Q63:Q64)</f>
        <v>15654</v>
      </c>
      <c r="R62" s="44">
        <f t="shared" si="67"/>
        <v>15023</v>
      </c>
      <c r="S62" s="44"/>
      <c r="T62" s="8"/>
    </row>
    <row r="63" spans="2:20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/>
      <c r="T63" s="8"/>
    </row>
    <row r="64" spans="2:20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/>
      <c r="T64" s="8"/>
    </row>
    <row r="65" spans="2:20" ht="12" customHeight="1" x14ac:dyDescent="0.2">
      <c r="B65" s="1"/>
      <c r="C65" s="2"/>
      <c r="T65" s="8"/>
    </row>
    <row r="66" spans="2:20" ht="12" customHeight="1" x14ac:dyDescent="0.2">
      <c r="B66" s="1"/>
      <c r="C66" s="2"/>
      <c r="T66" s="8"/>
    </row>
    <row r="67" spans="2:20" ht="12" customHeight="1" x14ac:dyDescent="0.2">
      <c r="C67" s="3"/>
      <c r="T67" s="8"/>
    </row>
    <row r="68" spans="2:20" ht="12" customHeight="1" x14ac:dyDescent="0.2">
      <c r="C68" s="3"/>
      <c r="T68" s="8"/>
    </row>
    <row r="69" spans="2:20" ht="12" customHeight="1" x14ac:dyDescent="0.2">
      <c r="C69" s="3"/>
      <c r="T69" s="8"/>
    </row>
    <row r="70" spans="2:20" ht="12" customHeight="1" x14ac:dyDescent="0.2">
      <c r="C70" s="3"/>
      <c r="T70" s="102"/>
    </row>
    <row r="71" spans="2:20" ht="12" customHeight="1" x14ac:dyDescent="0.2">
      <c r="C71" s="3"/>
      <c r="T71" s="8"/>
    </row>
    <row r="72" spans="2:20" ht="12" customHeight="1" x14ac:dyDescent="0.2">
      <c r="C72" s="3"/>
    </row>
    <row r="74" spans="2:20" ht="12" customHeight="1" outlineLevel="1" x14ac:dyDescent="0.2">
      <c r="C74" s="16" t="s">
        <v>268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</row>
    <row r="75" spans="2:20" s="106" customFormat="1" ht="12" customHeight="1" outlineLevel="1" x14ac:dyDescent="0.2">
      <c r="C75" s="2" t="s">
        <v>263</v>
      </c>
      <c r="H75" s="106">
        <f>H60/H74*1000</f>
        <v>0.48629092702931653</v>
      </c>
      <c r="I75" s="106">
        <f>(H60+I60)/I74*1000</f>
        <v>1.1726843670698026</v>
      </c>
      <c r="J75" s="106">
        <f>(H60+I60+J60)/J74*1000</f>
        <v>1.7509158561556168</v>
      </c>
      <c r="K75" s="106">
        <f>(H60+I60+J60+K60)/K74*1000</f>
        <v>2.3017755995335984</v>
      </c>
      <c r="L75" s="106">
        <f>L60/L74*1000</f>
        <v>0.51701243462900714</v>
      </c>
      <c r="M75" s="106">
        <f>(L60+M60)/M74*1000</f>
        <v>1.0170849864579192</v>
      </c>
      <c r="N75" s="106">
        <f>(L60+M60+N60)/N74*1000</f>
        <v>1.5116009459518185</v>
      </c>
      <c r="O75" s="106">
        <f>(L60+M60+N60+O60)/O74*1000</f>
        <v>1.8257506345899857</v>
      </c>
      <c r="P75" s="106">
        <f>P60/P74*1000</f>
        <v>0.57807041665457937</v>
      </c>
      <c r="Q75" s="106">
        <f>(P60+Q60)/Q74*1000</f>
        <v>1.069272248066105</v>
      </c>
      <c r="R75" s="106">
        <f>(P60+Q60+R60)/R74*1000</f>
        <v>1.6403546256486397</v>
      </c>
    </row>
    <row r="76" spans="2:20" ht="12" customHeight="1" outlineLevel="1" x14ac:dyDescent="0.2">
      <c r="J76" s="102"/>
    </row>
    <row r="77" spans="2:20" ht="12" customHeight="1" outlineLevel="1" x14ac:dyDescent="0.2">
      <c r="C77" s="16" t="s">
        <v>269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</row>
  </sheetData>
  <mergeCells count="26">
    <mergeCell ref="B30:C30"/>
    <mergeCell ref="B48:C48"/>
    <mergeCell ref="B47:C47"/>
    <mergeCell ref="B58:C58"/>
    <mergeCell ref="B59:C59"/>
    <mergeCell ref="B33:C33"/>
    <mergeCell ref="B34:C34"/>
    <mergeCell ref="B36:C36"/>
    <mergeCell ref="B37:C37"/>
    <mergeCell ref="B62:C62"/>
    <mergeCell ref="B38:C38"/>
    <mergeCell ref="B45:C45"/>
    <mergeCell ref="B39:C39"/>
    <mergeCell ref="B41:C41"/>
    <mergeCell ref="B19:C19"/>
    <mergeCell ref="B20:C20"/>
    <mergeCell ref="B29:C29"/>
    <mergeCell ref="B23:C23"/>
    <mergeCell ref="B24:C24"/>
    <mergeCell ref="B25:C25"/>
    <mergeCell ref="B26:C26"/>
    <mergeCell ref="B7:C8"/>
    <mergeCell ref="B9:C9"/>
    <mergeCell ref="B10:C10"/>
    <mergeCell ref="B13:C13"/>
    <mergeCell ref="B16:C16"/>
  </mergeCells>
  <pageMargins left="0.78740157480314965" right="0.78740157480314965" top="0.78740157480314965" bottom="1.1811023622047245" header="0.51181102362204722" footer="0.98425196850393704"/>
  <pageSetup paperSize="9" scale="5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AA9F-E1F9-4BA9-8237-0625500F317E}">
  <sheetPr>
    <tabColor rgb="FFC00000"/>
    <pageSetUpPr fitToPage="1"/>
  </sheetPr>
  <dimension ref="B1:AU79"/>
  <sheetViews>
    <sheetView showGridLines="0" zoomScale="98" zoomScaleNormal="98" zoomScaleSheetLayoutView="100" workbookViewId="0">
      <pane xSplit="3" ySplit="8" topLeftCell="AD9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AI17" sqref="AI17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23" width="9.28515625" style="3" customWidth="1"/>
    <col min="24" max="39" width="9.140625" style="3"/>
    <col min="40" max="40" width="10.28515625" style="3" customWidth="1"/>
    <col min="41" max="41" width="9.140625" style="3"/>
    <col min="42" max="42" width="19.5703125" style="3" customWidth="1"/>
    <col min="43" max="43" width="17.85546875" style="3" customWidth="1"/>
    <col min="44" max="16384" width="9.140625" style="3"/>
  </cols>
  <sheetData>
    <row r="1" spans="2:40" s="1" customFormat="1" ht="12" hidden="1" customHeight="1" x14ac:dyDescent="0.2">
      <c r="C1" s="2"/>
    </row>
    <row r="2" spans="2:40" s="1" customFormat="1" ht="12" hidden="1" customHeight="1" x14ac:dyDescent="0.2">
      <c r="C2" s="2"/>
    </row>
    <row r="3" spans="2:40" s="1" customFormat="1" ht="12" hidden="1" customHeight="1" x14ac:dyDescent="0.2">
      <c r="C3" s="2"/>
    </row>
    <row r="4" spans="2:40" s="1" customFormat="1" ht="12" hidden="1" customHeight="1" x14ac:dyDescent="0.2">
      <c r="C4" s="2"/>
    </row>
    <row r="5" spans="2:40" s="1" customFormat="1" ht="12" customHeight="1" x14ac:dyDescent="0.2">
      <c r="C5" s="2"/>
    </row>
    <row r="6" spans="2:40" s="94" customFormat="1" ht="12" customHeight="1" x14ac:dyDescent="0.2">
      <c r="B6" s="92" t="s">
        <v>265</v>
      </c>
      <c r="C6" s="9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</row>
    <row r="7" spans="2:40" ht="12" customHeight="1" x14ac:dyDescent="0.2">
      <c r="B7" s="188" t="s">
        <v>59</v>
      </c>
      <c r="C7" s="202"/>
      <c r="D7" s="134"/>
      <c r="E7" s="134"/>
      <c r="F7" s="134"/>
      <c r="G7" s="134"/>
      <c r="H7" s="205" t="s">
        <v>121</v>
      </c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65"/>
      <c r="AK7" s="165"/>
      <c r="AL7" s="165"/>
      <c r="AM7" s="165"/>
      <c r="AN7" s="166"/>
    </row>
    <row r="8" spans="2:40" ht="12" customHeight="1" x14ac:dyDescent="0.2">
      <c r="B8" s="203"/>
      <c r="C8" s="204"/>
      <c r="D8" s="135" t="s">
        <v>51</v>
      </c>
      <c r="E8" s="135" t="s">
        <v>52</v>
      </c>
      <c r="F8" s="135" t="s">
        <v>53</v>
      </c>
      <c r="G8" s="135" t="s">
        <v>54</v>
      </c>
      <c r="H8" s="135" t="s">
        <v>233</v>
      </c>
      <c r="I8" s="135" t="s">
        <v>234</v>
      </c>
      <c r="J8" s="135" t="s">
        <v>235</v>
      </c>
      <c r="K8" s="135" t="s">
        <v>236</v>
      </c>
      <c r="L8" s="135" t="s">
        <v>237</v>
      </c>
      <c r="M8" s="135" t="s">
        <v>238</v>
      </c>
      <c r="N8" s="135" t="s">
        <v>239</v>
      </c>
      <c r="O8" s="135" t="s">
        <v>240</v>
      </c>
      <c r="P8" s="135" t="s">
        <v>241</v>
      </c>
      <c r="Q8" s="135" t="s">
        <v>242</v>
      </c>
      <c r="R8" s="135" t="s">
        <v>243</v>
      </c>
      <c r="S8" s="135" t="s">
        <v>244</v>
      </c>
      <c r="T8" s="135" t="s">
        <v>295</v>
      </c>
      <c r="U8" s="135" t="s">
        <v>297</v>
      </c>
      <c r="V8" s="135" t="s">
        <v>301</v>
      </c>
      <c r="W8" s="135" t="s">
        <v>306</v>
      </c>
      <c r="X8" s="135" t="s">
        <v>309</v>
      </c>
      <c r="Y8" s="135" t="s">
        <v>312</v>
      </c>
      <c r="Z8" s="135" t="s">
        <v>315</v>
      </c>
      <c r="AA8" s="135" t="s">
        <v>318</v>
      </c>
      <c r="AB8" s="135" t="s">
        <v>323</v>
      </c>
      <c r="AC8" s="135" t="s">
        <v>325</v>
      </c>
      <c r="AD8" s="135" t="s">
        <v>328</v>
      </c>
      <c r="AE8" s="135" t="s">
        <v>331</v>
      </c>
      <c r="AF8" s="135" t="s">
        <v>334</v>
      </c>
      <c r="AG8" s="135" t="s">
        <v>336</v>
      </c>
      <c r="AH8" s="135" t="s">
        <v>341</v>
      </c>
      <c r="AI8" s="135" t="s">
        <v>345</v>
      </c>
      <c r="AJ8" s="135" t="s">
        <v>355</v>
      </c>
      <c r="AK8" s="135" t="s">
        <v>357</v>
      </c>
      <c r="AL8" s="135" t="s">
        <v>361</v>
      </c>
      <c r="AM8" s="135" t="s">
        <v>364</v>
      </c>
      <c r="AN8" s="135" t="s">
        <v>367</v>
      </c>
    </row>
    <row r="9" spans="2:40" ht="12" customHeight="1" x14ac:dyDescent="0.2">
      <c r="B9" s="195" t="s">
        <v>26</v>
      </c>
      <c r="C9" s="19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</row>
    <row r="10" spans="2:40" ht="12" customHeight="1" x14ac:dyDescent="0.2">
      <c r="B10" s="173" t="s">
        <v>0</v>
      </c>
      <c r="C10" s="173"/>
      <c r="D10" s="44"/>
      <c r="E10" s="44"/>
      <c r="F10" s="44"/>
      <c r="G10" s="44"/>
      <c r="H10" s="44">
        <f t="shared" ref="H10:O10" si="0">SUM(H11:H12)</f>
        <v>182237</v>
      </c>
      <c r="I10" s="44">
        <f t="shared" si="0"/>
        <v>202299</v>
      </c>
      <c r="J10" s="44">
        <f t="shared" si="0"/>
        <v>202177</v>
      </c>
      <c r="K10" s="44">
        <f t="shared" si="0"/>
        <v>241089</v>
      </c>
      <c r="L10" s="44">
        <f t="shared" si="0"/>
        <v>212479</v>
      </c>
      <c r="M10" s="44">
        <f t="shared" si="0"/>
        <v>210782</v>
      </c>
      <c r="N10" s="44">
        <f t="shared" si="0"/>
        <v>220495</v>
      </c>
      <c r="O10" s="44">
        <f t="shared" si="0"/>
        <v>233837</v>
      </c>
      <c r="P10" s="44">
        <f>SUM(P11:P12)</f>
        <v>224536</v>
      </c>
      <c r="Q10" s="44">
        <f t="shared" ref="Q10:S10" si="1">SUM(Q11:Q12)</f>
        <v>237408</v>
      </c>
      <c r="R10" s="44">
        <f t="shared" si="1"/>
        <v>244126</v>
      </c>
      <c r="S10" s="44">
        <f t="shared" si="1"/>
        <v>228780</v>
      </c>
      <c r="T10" s="44">
        <f t="shared" ref="T10:U10" si="2">SUM(T11:T12)</f>
        <v>224498</v>
      </c>
      <c r="U10" s="44">
        <f t="shared" si="2"/>
        <v>237418</v>
      </c>
      <c r="V10" s="44">
        <f t="shared" ref="V10:W10" si="3">SUM(V11:V12)</f>
        <v>240136</v>
      </c>
      <c r="W10" s="44">
        <f t="shared" si="3"/>
        <v>238031</v>
      </c>
      <c r="X10" s="44">
        <f t="shared" ref="X10:Z10" si="4">SUM(X11:X12)</f>
        <v>237063</v>
      </c>
      <c r="Y10" s="44">
        <f t="shared" si="4"/>
        <v>256711</v>
      </c>
      <c r="Z10" s="44">
        <f t="shared" si="4"/>
        <v>281226</v>
      </c>
      <c r="AA10" s="44">
        <f t="shared" ref="AA10:AE10" si="5">SUM(AA11:AA12)</f>
        <v>306792</v>
      </c>
      <c r="AB10" s="44">
        <f t="shared" si="5"/>
        <v>288506</v>
      </c>
      <c r="AC10" s="44">
        <f t="shared" si="5"/>
        <v>275565</v>
      </c>
      <c r="AD10" s="44">
        <f t="shared" si="5"/>
        <v>288693</v>
      </c>
      <c r="AE10" s="44">
        <f t="shared" si="5"/>
        <v>284410</v>
      </c>
      <c r="AF10" s="44">
        <f t="shared" ref="AF10:AH10" si="6">SUM(AF11:AF12)</f>
        <v>296377</v>
      </c>
      <c r="AG10" s="44">
        <f t="shared" si="6"/>
        <v>338053</v>
      </c>
      <c r="AH10" s="44">
        <f t="shared" si="6"/>
        <v>292645</v>
      </c>
      <c r="AI10" s="44">
        <f t="shared" ref="AI10:AM10" si="7">SUM(AI11:AI12)</f>
        <v>300724</v>
      </c>
      <c r="AJ10" s="44">
        <f t="shared" si="7"/>
        <v>283715</v>
      </c>
      <c r="AK10" s="44">
        <f t="shared" si="7"/>
        <v>286387</v>
      </c>
      <c r="AL10" s="44">
        <f t="shared" si="7"/>
        <v>295832</v>
      </c>
      <c r="AM10" s="44">
        <f t="shared" si="7"/>
        <v>335918</v>
      </c>
      <c r="AN10" s="44">
        <f t="shared" ref="AN10" si="8">SUM(AN11:AN12)</f>
        <v>332942</v>
      </c>
    </row>
    <row r="11" spans="2:40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>
        <v>4745</v>
      </c>
      <c r="T11" s="10">
        <v>3322</v>
      </c>
      <c r="U11" s="10">
        <v>3844</v>
      </c>
      <c r="V11" s="10">
        <v>5241</v>
      </c>
      <c r="W11" s="10">
        <v>8071</v>
      </c>
      <c r="X11" s="10">
        <v>0</v>
      </c>
      <c r="Y11" s="10">
        <v>0</v>
      </c>
      <c r="Z11" s="10">
        <v>0</v>
      </c>
      <c r="AA11" s="10">
        <v>3783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139</v>
      </c>
    </row>
    <row r="12" spans="2:40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>
        <v>224035</v>
      </c>
      <c r="T12" s="10">
        <v>221176</v>
      </c>
      <c r="U12" s="10">
        <v>233574</v>
      </c>
      <c r="V12" s="10">
        <v>234895</v>
      </c>
      <c r="W12" s="10">
        <v>229960</v>
      </c>
      <c r="X12" s="10">
        <v>237063</v>
      </c>
      <c r="Y12" s="10">
        <v>256711</v>
      </c>
      <c r="Z12" s="10">
        <v>281226</v>
      </c>
      <c r="AA12" s="10">
        <v>303009</v>
      </c>
      <c r="AB12" s="10">
        <v>288506</v>
      </c>
      <c r="AC12" s="10">
        <v>275565</v>
      </c>
      <c r="AD12" s="10">
        <v>288693</v>
      </c>
      <c r="AE12" s="10">
        <v>284410</v>
      </c>
      <c r="AF12" s="10">
        <v>296377</v>
      </c>
      <c r="AG12" s="10">
        <v>338053</v>
      </c>
      <c r="AH12" s="10">
        <v>292645</v>
      </c>
      <c r="AI12" s="10">
        <v>300724</v>
      </c>
      <c r="AJ12" s="10">
        <v>283715</v>
      </c>
      <c r="AK12" s="10">
        <v>286387</v>
      </c>
      <c r="AL12" s="10">
        <v>295832</v>
      </c>
      <c r="AM12" s="10">
        <v>335918</v>
      </c>
      <c r="AN12" s="10">
        <v>332803</v>
      </c>
    </row>
    <row r="13" spans="2:40" ht="12" customHeight="1" x14ac:dyDescent="0.2">
      <c r="B13" s="173" t="s">
        <v>33</v>
      </c>
      <c r="C13" s="173"/>
      <c r="D13" s="44"/>
      <c r="E13" s="44"/>
      <c r="F13" s="44"/>
      <c r="G13" s="44"/>
      <c r="H13" s="44">
        <f t="shared" ref="H13:S13" si="9">SUM(H14:H15)</f>
        <v>-124522</v>
      </c>
      <c r="I13" s="44">
        <f t="shared" si="9"/>
        <v>-136676</v>
      </c>
      <c r="J13" s="44">
        <f t="shared" si="9"/>
        <v>-139161</v>
      </c>
      <c r="K13" s="44">
        <f t="shared" si="9"/>
        <v>-168538</v>
      </c>
      <c r="L13" s="44">
        <f t="shared" si="9"/>
        <v>-149282</v>
      </c>
      <c r="M13" s="44">
        <f t="shared" si="9"/>
        <v>-147923</v>
      </c>
      <c r="N13" s="44">
        <f t="shared" si="9"/>
        <v>-163962</v>
      </c>
      <c r="O13" s="44">
        <f t="shared" si="9"/>
        <v>-178664</v>
      </c>
      <c r="P13" s="44">
        <f t="shared" si="9"/>
        <v>-163484</v>
      </c>
      <c r="Q13" s="44">
        <f t="shared" si="9"/>
        <v>-176972</v>
      </c>
      <c r="R13" s="44">
        <f t="shared" si="9"/>
        <v>-189344</v>
      </c>
      <c r="S13" s="44">
        <f t="shared" si="9"/>
        <v>-175440</v>
      </c>
      <c r="T13" s="44">
        <f t="shared" ref="T13:U13" si="10">SUM(T14:T15)</f>
        <v>-165134</v>
      </c>
      <c r="U13" s="44">
        <f t="shared" si="10"/>
        <v>-181649</v>
      </c>
      <c r="V13" s="44">
        <f t="shared" ref="V13:W13" si="11">SUM(V14:V15)</f>
        <v>-188749</v>
      </c>
      <c r="W13" s="44">
        <f t="shared" si="11"/>
        <v>-190974</v>
      </c>
      <c r="X13" s="44">
        <f t="shared" ref="X13:Z13" si="12">SUM(X14:X15)</f>
        <v>-190396</v>
      </c>
      <c r="Y13" s="44">
        <f t="shared" si="12"/>
        <v>-199313</v>
      </c>
      <c r="Z13" s="44">
        <f t="shared" si="12"/>
        <v>-224931</v>
      </c>
      <c r="AA13" s="44">
        <f t="shared" ref="AA13:AE13" si="13">SUM(AA14:AA15)</f>
        <v>-242891</v>
      </c>
      <c r="AB13" s="44">
        <f t="shared" si="13"/>
        <v>-218370</v>
      </c>
      <c r="AC13" s="44">
        <f t="shared" si="13"/>
        <v>-213728</v>
      </c>
      <c r="AD13" s="44">
        <f t="shared" si="13"/>
        <v>-223326</v>
      </c>
      <c r="AE13" s="44">
        <f t="shared" si="13"/>
        <v>-225922</v>
      </c>
      <c r="AF13" s="44">
        <f t="shared" ref="AF13:AH13" si="14">SUM(AF14:AF15)</f>
        <v>-225564</v>
      </c>
      <c r="AG13" s="44">
        <f t="shared" si="14"/>
        <v>-244681</v>
      </c>
      <c r="AH13" s="44">
        <f t="shared" si="14"/>
        <v>-215716</v>
      </c>
      <c r="AI13" s="44">
        <f t="shared" ref="AI13:AM13" si="15">SUM(AI14:AI15)</f>
        <v>-227104</v>
      </c>
      <c r="AJ13" s="44">
        <f t="shared" si="15"/>
        <v>-208132</v>
      </c>
      <c r="AK13" s="44">
        <f t="shared" si="15"/>
        <v>-204877</v>
      </c>
      <c r="AL13" s="44">
        <f t="shared" si="15"/>
        <v>-217286</v>
      </c>
      <c r="AM13" s="44">
        <f t="shared" si="15"/>
        <v>-266009</v>
      </c>
      <c r="AN13" s="44">
        <f t="shared" ref="AN13" si="16">SUM(AN14:AN15)</f>
        <v>-240316</v>
      </c>
    </row>
    <row r="14" spans="2:40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>
        <v>-3042</v>
      </c>
      <c r="T14" s="10">
        <v>-1963</v>
      </c>
      <c r="U14" s="10">
        <v>-2220</v>
      </c>
      <c r="V14" s="10">
        <v>-3300</v>
      </c>
      <c r="W14" s="10">
        <v>-5531</v>
      </c>
      <c r="X14" s="10">
        <v>0</v>
      </c>
      <c r="Y14" s="10">
        <v>0</v>
      </c>
      <c r="Z14" s="10">
        <v>0</v>
      </c>
      <c r="AA14" s="10">
        <v>-2528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-76</v>
      </c>
    </row>
    <row r="15" spans="2:40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-161244</v>
      </c>
      <c r="Q15" s="9">
        <v>-175297</v>
      </c>
      <c r="R15" s="10">
        <v>-185406</v>
      </c>
      <c r="S15" s="10">
        <v>-172398</v>
      </c>
      <c r="T15" s="10">
        <v>-163171</v>
      </c>
      <c r="U15" s="10">
        <v>-179429</v>
      </c>
      <c r="V15" s="10">
        <v>-185449</v>
      </c>
      <c r="W15" s="10">
        <v>-185443</v>
      </c>
      <c r="X15" s="10">
        <v>-190396</v>
      </c>
      <c r="Y15" s="10">
        <v>-199313</v>
      </c>
      <c r="Z15" s="10">
        <v>-224931</v>
      </c>
      <c r="AA15" s="10">
        <v>-240363</v>
      </c>
      <c r="AB15" s="10">
        <v>-218370</v>
      </c>
      <c r="AC15" s="10">
        <v>-213728</v>
      </c>
      <c r="AD15" s="10">
        <v>-223326</v>
      </c>
      <c r="AE15" s="10">
        <v>-225922</v>
      </c>
      <c r="AF15" s="10">
        <v>-225564</v>
      </c>
      <c r="AG15" s="10">
        <v>-244681</v>
      </c>
      <c r="AH15" s="10">
        <v>-215716</v>
      </c>
      <c r="AI15" s="10">
        <v>-227104</v>
      </c>
      <c r="AJ15" s="10">
        <v>-208132</v>
      </c>
      <c r="AK15" s="10">
        <v>-204877</v>
      </c>
      <c r="AL15" s="10">
        <v>-217286</v>
      </c>
      <c r="AM15" s="10">
        <v>-266009</v>
      </c>
      <c r="AN15" s="10">
        <v>-240240</v>
      </c>
    </row>
    <row r="16" spans="2:40" ht="12" customHeight="1" x14ac:dyDescent="0.2">
      <c r="B16" s="173" t="s">
        <v>3</v>
      </c>
      <c r="C16" s="173"/>
      <c r="D16" s="44"/>
      <c r="E16" s="44"/>
      <c r="F16" s="44"/>
      <c r="G16" s="44"/>
      <c r="H16" s="44">
        <f t="shared" ref="H16:S16" si="17">H10+H13</f>
        <v>57715</v>
      </c>
      <c r="I16" s="44">
        <f t="shared" si="17"/>
        <v>65623</v>
      </c>
      <c r="J16" s="44">
        <f t="shared" si="17"/>
        <v>63016</v>
      </c>
      <c r="K16" s="44">
        <f t="shared" si="17"/>
        <v>72551</v>
      </c>
      <c r="L16" s="44">
        <f t="shared" si="17"/>
        <v>63197</v>
      </c>
      <c r="M16" s="44">
        <f t="shared" si="17"/>
        <v>62859</v>
      </c>
      <c r="N16" s="44">
        <f t="shared" si="17"/>
        <v>56533</v>
      </c>
      <c r="O16" s="44">
        <f t="shared" si="17"/>
        <v>55173</v>
      </c>
      <c r="P16" s="44">
        <f t="shared" si="17"/>
        <v>61052</v>
      </c>
      <c r="Q16" s="44">
        <f t="shared" si="17"/>
        <v>60436</v>
      </c>
      <c r="R16" s="44">
        <f t="shared" si="17"/>
        <v>54782</v>
      </c>
      <c r="S16" s="44">
        <f t="shared" si="17"/>
        <v>53340</v>
      </c>
      <c r="T16" s="44">
        <f t="shared" ref="T16:U16" si="18">T10+T13</f>
        <v>59364</v>
      </c>
      <c r="U16" s="44">
        <f t="shared" si="18"/>
        <v>55769</v>
      </c>
      <c r="V16" s="44">
        <f t="shared" ref="V16:W16" si="19">V10+V13</f>
        <v>51387</v>
      </c>
      <c r="W16" s="44">
        <f t="shared" si="19"/>
        <v>47057</v>
      </c>
      <c r="X16" s="44">
        <f t="shared" ref="X16:Z16" si="20">X10+X13</f>
        <v>46667</v>
      </c>
      <c r="Y16" s="44">
        <f t="shared" si="20"/>
        <v>57398</v>
      </c>
      <c r="Z16" s="44">
        <f t="shared" si="20"/>
        <v>56295</v>
      </c>
      <c r="AA16" s="44">
        <f t="shared" ref="AA16:AE16" si="21">AA10+AA13</f>
        <v>63901</v>
      </c>
      <c r="AB16" s="44">
        <f t="shared" si="21"/>
        <v>70136</v>
      </c>
      <c r="AC16" s="44">
        <f t="shared" si="21"/>
        <v>61837</v>
      </c>
      <c r="AD16" s="44">
        <f t="shared" si="21"/>
        <v>65367</v>
      </c>
      <c r="AE16" s="44">
        <f t="shared" si="21"/>
        <v>58488</v>
      </c>
      <c r="AF16" s="44">
        <f t="shared" ref="AF16:AH16" si="22">AF10+AF13</f>
        <v>70813</v>
      </c>
      <c r="AG16" s="44">
        <f t="shared" si="22"/>
        <v>93372</v>
      </c>
      <c r="AH16" s="44">
        <f t="shared" si="22"/>
        <v>76929</v>
      </c>
      <c r="AI16" s="44">
        <f t="shared" ref="AI16:AM16" si="23">AI10+AI13</f>
        <v>73620</v>
      </c>
      <c r="AJ16" s="44">
        <f t="shared" si="23"/>
        <v>75583</v>
      </c>
      <c r="AK16" s="44">
        <f t="shared" si="23"/>
        <v>81510</v>
      </c>
      <c r="AL16" s="44">
        <f t="shared" si="23"/>
        <v>78546</v>
      </c>
      <c r="AM16" s="44">
        <f t="shared" si="23"/>
        <v>69909</v>
      </c>
      <c r="AN16" s="44">
        <f t="shared" ref="AN16" si="24">AN10+AN13</f>
        <v>92626</v>
      </c>
    </row>
    <row r="17" spans="2:45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3">
        <v>-7941</v>
      </c>
      <c r="T17" s="10">
        <v>-8364</v>
      </c>
      <c r="U17" s="10">
        <v>-8537</v>
      </c>
      <c r="V17" s="10">
        <v>-8653</v>
      </c>
      <c r="W17" s="10">
        <v>-10998</v>
      </c>
      <c r="X17" s="10">
        <v>-9066</v>
      </c>
      <c r="Y17" s="10">
        <v>-10622</v>
      </c>
      <c r="Z17" s="10">
        <v>-10419</v>
      </c>
      <c r="AA17" s="10">
        <v>-12315</v>
      </c>
      <c r="AB17" s="10">
        <v>-11483</v>
      </c>
      <c r="AC17" s="10">
        <v>-10782</v>
      </c>
      <c r="AD17" s="10">
        <v>-10242</v>
      </c>
      <c r="AE17" s="10">
        <v>-12396</v>
      </c>
      <c r="AF17" s="10">
        <v>-11253</v>
      </c>
      <c r="AG17" s="10">
        <v>-13201</v>
      </c>
      <c r="AH17" s="10">
        <v>-10165</v>
      </c>
      <c r="AI17" s="10">
        <v>-13762</v>
      </c>
      <c r="AJ17" s="10">
        <v>-12063</v>
      </c>
      <c r="AK17" s="10">
        <v>-13675</v>
      </c>
      <c r="AL17" s="10">
        <v>-12972</v>
      </c>
      <c r="AM17" s="10">
        <v>-15799</v>
      </c>
      <c r="AN17" s="10">
        <v>-14813</v>
      </c>
    </row>
    <row r="18" spans="2:45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-31424</v>
      </c>
      <c r="S18" s="13">
        <v>-31483</v>
      </c>
      <c r="T18" s="10">
        <v>-33935</v>
      </c>
      <c r="U18" s="10">
        <v>-31397</v>
      </c>
      <c r="V18" s="10">
        <v>-29495</v>
      </c>
      <c r="W18" s="10">
        <v>-33458</v>
      </c>
      <c r="X18" s="10">
        <v>-34357</v>
      </c>
      <c r="Y18" s="10">
        <v>-35745</v>
      </c>
      <c r="Z18" s="10">
        <v>-31385</v>
      </c>
      <c r="AA18" s="10">
        <v>-35262</v>
      </c>
      <c r="AB18" s="10">
        <v>-39286</v>
      </c>
      <c r="AC18" s="10">
        <v>-37009</v>
      </c>
      <c r="AD18" s="10">
        <v>-38841</v>
      </c>
      <c r="AE18" s="10">
        <v>-38519</v>
      </c>
      <c r="AF18" s="10">
        <v>-40512</v>
      </c>
      <c r="AG18" s="10">
        <v>-42144</v>
      </c>
      <c r="AH18" s="10">
        <v>-38269</v>
      </c>
      <c r="AI18" s="10">
        <v>-41969</v>
      </c>
      <c r="AJ18" s="10">
        <v>-44006</v>
      </c>
      <c r="AK18" s="10">
        <v>-43901</v>
      </c>
      <c r="AL18" s="10">
        <v>-42119</v>
      </c>
      <c r="AM18" s="10">
        <v>-49317</v>
      </c>
      <c r="AN18" s="10">
        <v>-43298</v>
      </c>
    </row>
    <row r="19" spans="2:45" ht="12" customHeight="1" x14ac:dyDescent="0.2">
      <c r="B19" s="173" t="s">
        <v>6</v>
      </c>
      <c r="C19" s="173"/>
      <c r="D19" s="44"/>
      <c r="E19" s="44"/>
      <c r="F19" s="44"/>
      <c r="G19" s="44"/>
      <c r="H19" s="44">
        <f t="shared" ref="H19:R19" si="25">SUM(H16:H18)</f>
        <v>20311</v>
      </c>
      <c r="I19" s="44">
        <f t="shared" si="25"/>
        <v>25490</v>
      </c>
      <c r="J19" s="44">
        <f t="shared" si="25"/>
        <v>23950</v>
      </c>
      <c r="K19" s="44">
        <f t="shared" si="25"/>
        <v>27119</v>
      </c>
      <c r="L19" s="44">
        <f t="shared" si="25"/>
        <v>22167</v>
      </c>
      <c r="M19" s="44">
        <f t="shared" si="25"/>
        <v>20675</v>
      </c>
      <c r="N19" s="44">
        <f t="shared" si="25"/>
        <v>17636</v>
      </c>
      <c r="O19" s="44">
        <f t="shared" si="25"/>
        <v>14056</v>
      </c>
      <c r="P19" s="44">
        <f t="shared" si="25"/>
        <v>19608</v>
      </c>
      <c r="Q19" s="44">
        <f t="shared" si="25"/>
        <v>21730</v>
      </c>
      <c r="R19" s="44">
        <f t="shared" si="25"/>
        <v>15984</v>
      </c>
      <c r="S19" s="44">
        <f t="shared" ref="S19:T19" si="26">SUM(S16:S18)</f>
        <v>13916</v>
      </c>
      <c r="T19" s="44">
        <f t="shared" si="26"/>
        <v>17065</v>
      </c>
      <c r="U19" s="44">
        <f t="shared" ref="U19:V19" si="27">SUM(U16:U18)</f>
        <v>15835</v>
      </c>
      <c r="V19" s="44">
        <f t="shared" si="27"/>
        <v>13239</v>
      </c>
      <c r="W19" s="44">
        <f t="shared" ref="W19:X19" si="28">SUM(W16:W18)</f>
        <v>2601</v>
      </c>
      <c r="X19" s="44">
        <f t="shared" si="28"/>
        <v>3244</v>
      </c>
      <c r="Y19" s="44">
        <f t="shared" ref="Y19:Z19" si="29">SUM(Y16:Y18)</f>
        <v>11031</v>
      </c>
      <c r="Z19" s="44">
        <f t="shared" si="29"/>
        <v>14491</v>
      </c>
      <c r="AA19" s="44">
        <f t="shared" ref="AA19:AB19" si="30">SUM(AA16:AA18)</f>
        <v>16324</v>
      </c>
      <c r="AB19" s="44">
        <f t="shared" si="30"/>
        <v>19367</v>
      </c>
      <c r="AC19" s="44">
        <f t="shared" ref="AC19:AD19" si="31">SUM(AC16:AC18)</f>
        <v>14046</v>
      </c>
      <c r="AD19" s="44">
        <f t="shared" si="31"/>
        <v>16284</v>
      </c>
      <c r="AE19" s="44">
        <f t="shared" ref="AE19:AF19" si="32">SUM(AE16:AE18)</f>
        <v>7573</v>
      </c>
      <c r="AF19" s="44">
        <f t="shared" si="32"/>
        <v>19048</v>
      </c>
      <c r="AG19" s="44">
        <f t="shared" ref="AG19:AH19" si="33">SUM(AG16:AG18)</f>
        <v>38027</v>
      </c>
      <c r="AH19" s="44">
        <f t="shared" si="33"/>
        <v>28495</v>
      </c>
      <c r="AI19" s="44">
        <f t="shared" ref="AI19:AM19" si="34">SUM(AI16:AI18)</f>
        <v>17889</v>
      </c>
      <c r="AJ19" s="44">
        <f t="shared" si="34"/>
        <v>19514</v>
      </c>
      <c r="AK19" s="44">
        <f t="shared" si="34"/>
        <v>23934</v>
      </c>
      <c r="AL19" s="44">
        <f t="shared" si="34"/>
        <v>23455</v>
      </c>
      <c r="AM19" s="44">
        <f t="shared" si="34"/>
        <v>4793</v>
      </c>
      <c r="AN19" s="44">
        <f t="shared" ref="AN19" si="35">SUM(AN16:AN18)</f>
        <v>34515</v>
      </c>
    </row>
    <row r="20" spans="2:45" ht="12" customHeight="1" x14ac:dyDescent="0.2">
      <c r="B20" s="173" t="s">
        <v>346</v>
      </c>
      <c r="C20" s="17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>
        <v>-280</v>
      </c>
      <c r="AJ20" s="44">
        <v>-131</v>
      </c>
      <c r="AK20" s="44">
        <v>-438</v>
      </c>
      <c r="AL20" s="44">
        <v>54</v>
      </c>
      <c r="AM20" s="44">
        <v>993</v>
      </c>
      <c r="AN20" s="44">
        <v>-1656</v>
      </c>
    </row>
    <row r="21" spans="2:45" ht="12" customHeight="1" x14ac:dyDescent="0.2">
      <c r="B21" s="173" t="s">
        <v>34</v>
      </c>
      <c r="C21" s="173"/>
      <c r="D21" s="44"/>
      <c r="E21" s="44"/>
      <c r="F21" s="44"/>
      <c r="G21" s="44"/>
      <c r="H21" s="44">
        <f t="shared" ref="H21:R21" si="36">SUM(H22:H23)</f>
        <v>-1001</v>
      </c>
      <c r="I21" s="44">
        <f t="shared" si="36"/>
        <v>-575</v>
      </c>
      <c r="J21" s="44">
        <f t="shared" si="36"/>
        <v>-788.95153201599896</v>
      </c>
      <c r="K21" s="44">
        <f t="shared" si="36"/>
        <v>-4722.048467984001</v>
      </c>
      <c r="L21" s="44">
        <f t="shared" si="36"/>
        <v>-783</v>
      </c>
      <c r="M21" s="44">
        <f t="shared" si="36"/>
        <v>-1064</v>
      </c>
      <c r="N21" s="44">
        <f t="shared" si="36"/>
        <v>-3020.0043700000015</v>
      </c>
      <c r="O21" s="44">
        <f t="shared" si="36"/>
        <v>5357.0043700000015</v>
      </c>
      <c r="P21" s="44">
        <f t="shared" si="36"/>
        <v>782</v>
      </c>
      <c r="Q21" s="44">
        <f t="shared" si="36"/>
        <v>-2110</v>
      </c>
      <c r="R21" s="44">
        <f t="shared" si="36"/>
        <v>3321.1267100000005</v>
      </c>
      <c r="S21" s="44">
        <f t="shared" ref="S21:T21" si="37">SUM(S22:S23)</f>
        <v>4007.8732900000032</v>
      </c>
      <c r="T21" s="44">
        <f t="shared" si="37"/>
        <v>39047</v>
      </c>
      <c r="U21" s="44">
        <f t="shared" ref="U21:V21" si="38">SUM(U22:U23)</f>
        <v>90</v>
      </c>
      <c r="V21" s="44">
        <f t="shared" si="38"/>
        <v>3332.2450400000034</v>
      </c>
      <c r="W21" s="44">
        <f t="shared" ref="W21:X21" si="39">SUM(W22:W23)</f>
        <v>1955.7549599999973</v>
      </c>
      <c r="X21" s="44">
        <f t="shared" si="39"/>
        <v>-1097</v>
      </c>
      <c r="Y21" s="44">
        <f t="shared" ref="Y21:Z21" si="40">SUM(Y22:Y23)</f>
        <v>246.79930000000002</v>
      </c>
      <c r="Z21" s="44">
        <f t="shared" si="40"/>
        <v>-9929.9569599999995</v>
      </c>
      <c r="AA21" s="44">
        <f t="shared" ref="AA21:AB21" si="41">SUM(AA22:AA23)</f>
        <v>-3413.8423400000011</v>
      </c>
      <c r="AB21" s="44">
        <f t="shared" si="41"/>
        <v>-1691</v>
      </c>
      <c r="AC21" s="44">
        <f t="shared" ref="AC21:AD21" si="42">SUM(AC22:AC23)</f>
        <v>-667</v>
      </c>
      <c r="AD21" s="44">
        <f t="shared" si="42"/>
        <v>530</v>
      </c>
      <c r="AE21" s="44">
        <f t="shared" ref="AE21:AF21" si="43">SUM(AE22:AE23)</f>
        <v>-15310</v>
      </c>
      <c r="AF21" s="44">
        <f t="shared" si="43"/>
        <v>-427</v>
      </c>
      <c r="AG21" s="44">
        <f t="shared" ref="AG21:AH21" si="44">SUM(AG22:AG23)</f>
        <v>-7693</v>
      </c>
      <c r="AH21" s="44">
        <f t="shared" si="44"/>
        <v>-4358</v>
      </c>
      <c r="AI21" s="44">
        <f t="shared" ref="AI21:AM21" si="45">SUM(AI22:AI23)</f>
        <v>-5567</v>
      </c>
      <c r="AJ21" s="44">
        <f t="shared" si="45"/>
        <v>-1457</v>
      </c>
      <c r="AK21" s="44">
        <f t="shared" si="45"/>
        <v>-191</v>
      </c>
      <c r="AL21" s="44">
        <f t="shared" si="45"/>
        <v>1350</v>
      </c>
      <c r="AM21" s="44">
        <f t="shared" si="45"/>
        <v>16390</v>
      </c>
      <c r="AN21" s="44">
        <f t="shared" ref="AN21" si="46">SUM(AN22:AN23)</f>
        <v>-4001</v>
      </c>
    </row>
    <row r="22" spans="2:45" ht="12" customHeight="1" x14ac:dyDescent="0.2">
      <c r="B22" s="20"/>
      <c r="C22" s="21" t="s">
        <v>35</v>
      </c>
      <c r="D22" s="9"/>
      <c r="E22" s="9"/>
      <c r="F22" s="9"/>
      <c r="G22" s="9"/>
      <c r="H22" s="9">
        <v>188</v>
      </c>
      <c r="I22" s="14">
        <v>2702</v>
      </c>
      <c r="J22" s="14">
        <v>3369.9099879840014</v>
      </c>
      <c r="K22" s="9">
        <v>383.09001201599858</v>
      </c>
      <c r="L22" s="14">
        <v>411</v>
      </c>
      <c r="M22" s="14">
        <v>1427</v>
      </c>
      <c r="N22" s="14">
        <v>2940.3926500000007</v>
      </c>
      <c r="O22" s="9">
        <v>4330.6073499999993</v>
      </c>
      <c r="P22" s="14">
        <v>2218</v>
      </c>
      <c r="Q22" s="14">
        <v>866</v>
      </c>
      <c r="R22" s="14">
        <v>7595.6926299999996</v>
      </c>
      <c r="S22" s="14">
        <v>2590.3073700000045</v>
      </c>
      <c r="T22" s="10">
        <v>39403</v>
      </c>
      <c r="U22" s="10">
        <v>637</v>
      </c>
      <c r="V22" s="10">
        <v>3529.0982400000066</v>
      </c>
      <c r="W22" s="10">
        <v>2472.9017599999943</v>
      </c>
      <c r="X22" s="10">
        <v>867</v>
      </c>
      <c r="Y22" s="10">
        <v>988</v>
      </c>
      <c r="Z22" s="10">
        <v>734.02462000000014</v>
      </c>
      <c r="AA22" s="10">
        <v>2334.9753799999999</v>
      </c>
      <c r="AB22" s="10">
        <v>263</v>
      </c>
      <c r="AC22" s="10">
        <v>848</v>
      </c>
      <c r="AD22" s="10">
        <v>1443</v>
      </c>
      <c r="AE22" s="10">
        <v>466</v>
      </c>
      <c r="AF22" s="10">
        <v>195</v>
      </c>
      <c r="AG22" s="10">
        <v>619</v>
      </c>
      <c r="AH22" s="10">
        <v>410</v>
      </c>
      <c r="AI22" s="10">
        <v>1141</v>
      </c>
      <c r="AJ22" s="10">
        <v>545</v>
      </c>
      <c r="AK22" s="10">
        <v>806</v>
      </c>
      <c r="AL22" s="10">
        <v>1723</v>
      </c>
      <c r="AM22" s="10">
        <v>18374</v>
      </c>
      <c r="AN22" s="10">
        <v>615</v>
      </c>
    </row>
    <row r="23" spans="2:45" ht="12" customHeight="1" x14ac:dyDescent="0.2">
      <c r="B23" s="20"/>
      <c r="C23" s="21" t="s">
        <v>36</v>
      </c>
      <c r="D23" s="9"/>
      <c r="E23" s="9"/>
      <c r="F23" s="9"/>
      <c r="G23" s="9"/>
      <c r="H23" s="9">
        <v>-1189</v>
      </c>
      <c r="I23" s="14">
        <v>-3277</v>
      </c>
      <c r="J23" s="14">
        <v>-4158.8615200000004</v>
      </c>
      <c r="K23" s="9">
        <v>-5105.1384799999996</v>
      </c>
      <c r="L23" s="14">
        <v>-1194</v>
      </c>
      <c r="M23" s="14">
        <v>-2491</v>
      </c>
      <c r="N23" s="14">
        <v>-5960.3970200000022</v>
      </c>
      <c r="O23" s="9">
        <v>1026.3970200000022</v>
      </c>
      <c r="P23" s="14">
        <v>-1436</v>
      </c>
      <c r="Q23" s="14">
        <v>-2976</v>
      </c>
      <c r="R23" s="14">
        <v>-4274.5659199999991</v>
      </c>
      <c r="S23" s="14">
        <v>1417.5659199999989</v>
      </c>
      <c r="T23" s="10">
        <v>-356</v>
      </c>
      <c r="U23" s="10">
        <v>-547</v>
      </c>
      <c r="V23" s="10">
        <v>-196.85320000000297</v>
      </c>
      <c r="W23" s="10">
        <v>-517.14679999999703</v>
      </c>
      <c r="X23" s="10">
        <v>-1964</v>
      </c>
      <c r="Y23" s="10">
        <v>-741.20069999999998</v>
      </c>
      <c r="Z23" s="10">
        <v>-10663.98158</v>
      </c>
      <c r="AA23" s="10">
        <v>-5748.8177200000009</v>
      </c>
      <c r="AB23" s="10">
        <v>-1954</v>
      </c>
      <c r="AC23" s="10">
        <v>-1515</v>
      </c>
      <c r="AD23" s="10">
        <v>-913</v>
      </c>
      <c r="AE23" s="10">
        <v>-15776</v>
      </c>
      <c r="AF23" s="10">
        <v>-622</v>
      </c>
      <c r="AG23" s="10">
        <v>-8312</v>
      </c>
      <c r="AH23" s="10">
        <f>-4768-'P&amp;L(y)'!X23</f>
        <v>-4768</v>
      </c>
      <c r="AI23" s="10">
        <v>-6708</v>
      </c>
      <c r="AJ23" s="10">
        <v>-2002</v>
      </c>
      <c r="AK23" s="10">
        <v>-997</v>
      </c>
      <c r="AL23" s="10">
        <v>-373</v>
      </c>
      <c r="AM23" s="10">
        <v>-1984</v>
      </c>
      <c r="AN23" s="10">
        <v>-4616</v>
      </c>
    </row>
    <row r="24" spans="2:45" s="15" customFormat="1" ht="12" customHeight="1" x14ac:dyDescent="0.2">
      <c r="B24" s="197" t="s">
        <v>7</v>
      </c>
      <c r="C24" s="198"/>
      <c r="D24" s="9"/>
      <c r="E24" s="9"/>
      <c r="F24" s="9"/>
      <c r="G24" s="9"/>
      <c r="H24" s="9">
        <v>157</v>
      </c>
      <c r="I24" s="7">
        <v>296</v>
      </c>
      <c r="J24" s="7">
        <v>480</v>
      </c>
      <c r="K24" s="9">
        <v>409</v>
      </c>
      <c r="L24" s="7">
        <v>235</v>
      </c>
      <c r="M24" s="7">
        <v>328</v>
      </c>
      <c r="N24" s="7">
        <v>603</v>
      </c>
      <c r="O24" s="9">
        <v>227</v>
      </c>
      <c r="P24" s="7">
        <v>-6</v>
      </c>
      <c r="Q24" s="7">
        <v>406</v>
      </c>
      <c r="R24" s="7">
        <v>458.97626740199996</v>
      </c>
      <c r="S24" s="7">
        <v>493.02373259800004</v>
      </c>
      <c r="T24" s="10">
        <v>302</v>
      </c>
      <c r="U24" s="10">
        <v>280</v>
      </c>
      <c r="V24" s="10">
        <v>378.66145999999992</v>
      </c>
      <c r="W24" s="10">
        <v>675.33854000000019</v>
      </c>
      <c r="X24" s="10">
        <v>93</v>
      </c>
      <c r="Y24" s="10">
        <v>351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3"/>
      <c r="AP24" s="3"/>
      <c r="AQ24" s="3"/>
      <c r="AR24" s="3"/>
      <c r="AS24" s="3"/>
    </row>
    <row r="25" spans="2:45" s="15" customFormat="1" ht="12" customHeight="1" x14ac:dyDescent="0.2">
      <c r="B25" s="197" t="s">
        <v>27</v>
      </c>
      <c r="C25" s="198"/>
      <c r="D25" s="9"/>
      <c r="E25" s="9"/>
      <c r="F25" s="9"/>
      <c r="G25" s="9"/>
      <c r="H25" s="9">
        <v>0</v>
      </c>
      <c r="I25" s="7">
        <v>0</v>
      </c>
      <c r="J25" s="7">
        <v>0</v>
      </c>
      <c r="K25" s="9">
        <v>0</v>
      </c>
      <c r="L25" s="7">
        <v>0</v>
      </c>
      <c r="M25" s="7">
        <v>0</v>
      </c>
      <c r="N25" s="7">
        <v>0</v>
      </c>
      <c r="O25" s="9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10">
        <v>0</v>
      </c>
      <c r="W25" s="10">
        <v>0</v>
      </c>
      <c r="X25" s="10">
        <v>0</v>
      </c>
      <c r="Y25" s="10"/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3"/>
      <c r="AP25" s="3"/>
      <c r="AQ25" s="3"/>
      <c r="AR25" s="3"/>
      <c r="AS25" s="3"/>
    </row>
    <row r="26" spans="2:45" ht="12" customHeight="1" x14ac:dyDescent="0.2">
      <c r="B26" s="173" t="s">
        <v>8</v>
      </c>
      <c r="C26" s="173"/>
      <c r="D26" s="44"/>
      <c r="E26" s="44"/>
      <c r="F26" s="44"/>
      <c r="G26" s="44"/>
      <c r="H26" s="44">
        <f t="shared" ref="H26:R26" si="47">SUM(H19:H21)+H24+H25</f>
        <v>19467</v>
      </c>
      <c r="I26" s="44">
        <f t="shared" si="47"/>
        <v>25211</v>
      </c>
      <c r="J26" s="44">
        <f t="shared" si="47"/>
        <v>23641.048467984001</v>
      </c>
      <c r="K26" s="44">
        <f t="shared" si="47"/>
        <v>22805.951532015999</v>
      </c>
      <c r="L26" s="44">
        <f t="shared" si="47"/>
        <v>21619</v>
      </c>
      <c r="M26" s="44">
        <f t="shared" si="47"/>
        <v>19939</v>
      </c>
      <c r="N26" s="44">
        <f t="shared" si="47"/>
        <v>15218.995629999998</v>
      </c>
      <c r="O26" s="44">
        <f t="shared" si="47"/>
        <v>19640.004370000002</v>
      </c>
      <c r="P26" s="44">
        <f t="shared" si="47"/>
        <v>20384</v>
      </c>
      <c r="Q26" s="44">
        <f t="shared" si="47"/>
        <v>20026</v>
      </c>
      <c r="R26" s="44">
        <f t="shared" si="47"/>
        <v>19764.102977401999</v>
      </c>
      <c r="S26" s="44">
        <f t="shared" ref="S26:U26" si="48">SUM(S19:S21)+S24+S25</f>
        <v>18416.897022598005</v>
      </c>
      <c r="T26" s="44">
        <f t="shared" si="48"/>
        <v>56414</v>
      </c>
      <c r="U26" s="44">
        <f t="shared" si="48"/>
        <v>16205</v>
      </c>
      <c r="V26" s="44">
        <f t="shared" ref="V26:W26" si="49">SUM(V19:V21)+V24+V25</f>
        <v>16949.906500000001</v>
      </c>
      <c r="W26" s="44">
        <f t="shared" si="49"/>
        <v>5232.0934999999972</v>
      </c>
      <c r="X26" s="44">
        <f t="shared" ref="X26:Y26" si="50">SUM(X19:X21)+X24+X25</f>
        <v>2240</v>
      </c>
      <c r="Y26" s="44">
        <f t="shared" si="50"/>
        <v>11628.799300000001</v>
      </c>
      <c r="Z26" s="44">
        <f t="shared" ref="Z26:AA26" si="51">SUM(Z19:Z21)+Z24+Z25</f>
        <v>4561.0430400000005</v>
      </c>
      <c r="AA26" s="44">
        <f t="shared" si="51"/>
        <v>12910.157659999999</v>
      </c>
      <c r="AB26" s="44">
        <f t="shared" ref="AB26:AC26" si="52">SUM(AB19:AB21)+AB24+AB25</f>
        <v>17676</v>
      </c>
      <c r="AC26" s="44">
        <f t="shared" si="52"/>
        <v>13379</v>
      </c>
      <c r="AD26" s="44">
        <f t="shared" ref="AD26:AE26" si="53">SUM(AD19:AD21)+AD24+AD25</f>
        <v>16814</v>
      </c>
      <c r="AE26" s="44">
        <f t="shared" si="53"/>
        <v>-7737</v>
      </c>
      <c r="AF26" s="44">
        <f t="shared" ref="AF26:AG26" si="54">SUM(AF19:AF21)+AF24+AF25</f>
        <v>18621</v>
      </c>
      <c r="AG26" s="44">
        <f t="shared" si="54"/>
        <v>30334</v>
      </c>
      <c r="AH26" s="44">
        <f t="shared" ref="AH26:AI26" si="55">SUM(AH19:AH21)+AH24+AH25</f>
        <v>24137</v>
      </c>
      <c r="AI26" s="44">
        <f t="shared" si="55"/>
        <v>12042</v>
      </c>
      <c r="AJ26" s="44">
        <f t="shared" ref="AJ26:AK26" si="56">SUM(AJ19:AJ21)+AJ24+AJ25</f>
        <v>17926</v>
      </c>
      <c r="AK26" s="44">
        <f t="shared" si="56"/>
        <v>23305</v>
      </c>
      <c r="AL26" s="44">
        <f t="shared" ref="AL26:AM26" si="57">SUM(AL19:AL21)+AL24+AL25</f>
        <v>24859</v>
      </c>
      <c r="AM26" s="44">
        <f t="shared" si="57"/>
        <v>22176</v>
      </c>
      <c r="AN26" s="44">
        <f t="shared" ref="AN26" si="58">SUM(AN19:AN21)+AN24+AN25</f>
        <v>28858</v>
      </c>
    </row>
    <row r="27" spans="2:45" ht="12" customHeight="1" x14ac:dyDescent="0.2">
      <c r="B27" s="173" t="s">
        <v>37</v>
      </c>
      <c r="C27" s="173"/>
      <c r="D27" s="44"/>
      <c r="E27" s="44"/>
      <c r="F27" s="44"/>
      <c r="G27" s="44"/>
      <c r="H27" s="44">
        <f t="shared" ref="H27" si="59">SUM(H28:H29)</f>
        <v>56</v>
      </c>
      <c r="I27" s="44">
        <f t="shared" ref="I27:R27" si="60">SUM(I28:I29)</f>
        <v>1357</v>
      </c>
      <c r="J27" s="44">
        <f t="shared" si="60"/>
        <v>-910.61839000000236</v>
      </c>
      <c r="K27" s="44">
        <f t="shared" si="60"/>
        <v>146.61839000000236</v>
      </c>
      <c r="L27" s="44">
        <f t="shared" si="60"/>
        <v>208</v>
      </c>
      <c r="M27" s="44">
        <f t="shared" si="60"/>
        <v>-597</v>
      </c>
      <c r="N27" s="44">
        <f t="shared" si="60"/>
        <v>-422.33050000000821</v>
      </c>
      <c r="O27" s="44">
        <f t="shared" si="60"/>
        <v>-1721.6694999999918</v>
      </c>
      <c r="P27" s="44">
        <f t="shared" si="60"/>
        <v>3791</v>
      </c>
      <c r="Q27" s="44">
        <f t="shared" si="60"/>
        <v>-353</v>
      </c>
      <c r="R27" s="44">
        <f t="shared" si="60"/>
        <v>1021.1312677904007</v>
      </c>
      <c r="S27" s="44">
        <f t="shared" ref="S27:T27" si="61">SUM(S28:S29)</f>
        <v>-1133.1312677904009</v>
      </c>
      <c r="T27" s="44">
        <f t="shared" si="61"/>
        <v>-2383</v>
      </c>
      <c r="U27" s="44">
        <f t="shared" ref="U27:V27" si="62">SUM(U28:U29)</f>
        <v>-3069</v>
      </c>
      <c r="V27" s="44">
        <f t="shared" si="62"/>
        <v>-447.62348500001031</v>
      </c>
      <c r="W27" s="44">
        <f t="shared" ref="W27:X27" si="63">SUM(W28:W29)</f>
        <v>-3657.376514999989</v>
      </c>
      <c r="X27" s="44">
        <f t="shared" si="63"/>
        <v>-3625</v>
      </c>
      <c r="Y27" s="44">
        <f t="shared" ref="Y27:Z27" si="64">SUM(Y28:Y29)</f>
        <v>-6195.4852099999998</v>
      </c>
      <c r="Z27" s="44">
        <f t="shared" si="64"/>
        <v>-7183.0202672657997</v>
      </c>
      <c r="AA27" s="44">
        <f t="shared" ref="AA27" si="65">SUM(AA28:AA29)</f>
        <v>1578.5054772657995</v>
      </c>
      <c r="AB27" s="44">
        <f t="shared" ref="AB27:AG27" si="66">SUM(AB28:AB29)</f>
        <v>-4390</v>
      </c>
      <c r="AC27" s="44">
        <f t="shared" si="66"/>
        <v>-1967</v>
      </c>
      <c r="AD27" s="44">
        <f t="shared" si="66"/>
        <v>-5240</v>
      </c>
      <c r="AE27" s="44">
        <f t="shared" si="66"/>
        <v>-991</v>
      </c>
      <c r="AF27" s="44">
        <f t="shared" si="66"/>
        <v>-3243</v>
      </c>
      <c r="AG27" s="44">
        <f t="shared" si="66"/>
        <v>-991</v>
      </c>
      <c r="AH27" s="44">
        <f t="shared" ref="AH27:AI27" si="67">SUM(AH28:AH29)</f>
        <v>-2398</v>
      </c>
      <c r="AI27" s="44">
        <f t="shared" si="67"/>
        <v>-967</v>
      </c>
      <c r="AJ27" s="44">
        <f t="shared" ref="AJ27:AK27" si="68">SUM(AJ28:AJ29)</f>
        <v>-1705</v>
      </c>
      <c r="AK27" s="44">
        <f t="shared" si="68"/>
        <v>-277</v>
      </c>
      <c r="AL27" s="44">
        <f t="shared" ref="AL27:AM27" si="69">SUM(AL28:AL29)</f>
        <v>-2881</v>
      </c>
      <c r="AM27" s="44">
        <f t="shared" si="69"/>
        <v>-2776</v>
      </c>
      <c r="AN27" s="44">
        <f t="shared" ref="AN27" si="70">SUM(AN28:AN29)</f>
        <v>-2823</v>
      </c>
    </row>
    <row r="28" spans="2:45" ht="12" customHeight="1" x14ac:dyDescent="0.2">
      <c r="B28" s="20"/>
      <c r="C28" s="21" t="s">
        <v>35</v>
      </c>
      <c r="D28" s="9"/>
      <c r="E28" s="9"/>
      <c r="F28" s="9"/>
      <c r="G28" s="9"/>
      <c r="H28" s="9">
        <v>1135</v>
      </c>
      <c r="I28" s="14">
        <v>2810</v>
      </c>
      <c r="J28" s="14">
        <v>809.66481999999723</v>
      </c>
      <c r="K28" s="9">
        <v>2422.3351800000028</v>
      </c>
      <c r="L28" s="14">
        <v>2243</v>
      </c>
      <c r="M28" s="14">
        <v>1496</v>
      </c>
      <c r="N28" s="14">
        <v>1841.0028999999913</v>
      </c>
      <c r="O28" s="9">
        <v>796.99710000000869</v>
      </c>
      <c r="P28" s="14">
        <v>5463</v>
      </c>
      <c r="Q28" s="14">
        <v>157</v>
      </c>
      <c r="R28" s="14">
        <v>2062.5449777904005</v>
      </c>
      <c r="S28" s="14">
        <v>397.45502220959997</v>
      </c>
      <c r="T28" s="10">
        <v>347</v>
      </c>
      <c r="U28" s="10">
        <v>295</v>
      </c>
      <c r="V28" s="10">
        <v>281.79032999999072</v>
      </c>
      <c r="W28" s="10">
        <v>383.20967000000951</v>
      </c>
      <c r="X28" s="10">
        <v>893</v>
      </c>
      <c r="Y28" s="10">
        <v>553.13174000000004</v>
      </c>
      <c r="Z28" s="10">
        <v>501.61425000000372</v>
      </c>
      <c r="AA28" s="10">
        <v>3320.254009999996</v>
      </c>
      <c r="AB28" s="10">
        <v>1293</v>
      </c>
      <c r="AC28" s="10">
        <v>2086</v>
      </c>
      <c r="AD28" s="10">
        <v>1252</v>
      </c>
      <c r="AE28" s="10">
        <v>3448</v>
      </c>
      <c r="AF28" s="10">
        <v>1575</v>
      </c>
      <c r="AG28" s="10">
        <v>2258</v>
      </c>
      <c r="AH28" s="10">
        <f>249+'P&amp;L(y)'!X28</f>
        <v>249</v>
      </c>
      <c r="AI28" s="10">
        <v>2919</v>
      </c>
      <c r="AJ28" s="10">
        <v>610</v>
      </c>
      <c r="AK28" s="10">
        <v>1969</v>
      </c>
      <c r="AL28" s="10">
        <v>-563</v>
      </c>
      <c r="AM28" s="10">
        <v>6</v>
      </c>
      <c r="AN28" s="10">
        <v>159</v>
      </c>
    </row>
    <row r="29" spans="2:45" ht="12" customHeight="1" x14ac:dyDescent="0.2">
      <c r="B29" s="20"/>
      <c r="C29" s="21" t="s">
        <v>36</v>
      </c>
      <c r="D29" s="9"/>
      <c r="E29" s="9"/>
      <c r="F29" s="9"/>
      <c r="G29" s="9"/>
      <c r="H29" s="9">
        <v>-1079</v>
      </c>
      <c r="I29" s="13">
        <v>-1453</v>
      </c>
      <c r="J29" s="13">
        <v>-1720.2832099999996</v>
      </c>
      <c r="K29" s="9">
        <v>-2275.7167900000004</v>
      </c>
      <c r="L29" s="13">
        <v>-2035</v>
      </c>
      <c r="M29" s="13">
        <v>-2093</v>
      </c>
      <c r="N29" s="13">
        <v>-2263.3333999999995</v>
      </c>
      <c r="O29" s="9">
        <v>-2518.6666000000005</v>
      </c>
      <c r="P29" s="13">
        <v>-1672</v>
      </c>
      <c r="Q29" s="13">
        <v>-510</v>
      </c>
      <c r="R29" s="13">
        <v>-1041.4137099999998</v>
      </c>
      <c r="S29" s="13">
        <v>-1530.5862900000009</v>
      </c>
      <c r="T29" s="10">
        <v>-2730</v>
      </c>
      <c r="U29" s="10">
        <v>-3364</v>
      </c>
      <c r="V29" s="10">
        <f>-728.913815000001-0.5</f>
        <v>-729.41381500000102</v>
      </c>
      <c r="W29" s="10">
        <v>-4040.5861849999983</v>
      </c>
      <c r="X29" s="10">
        <v>-4518</v>
      </c>
      <c r="Y29" s="10">
        <v>-6748.6169499999996</v>
      </c>
      <c r="Z29" s="10">
        <v>-7684.6345172658039</v>
      </c>
      <c r="AA29" s="10">
        <v>-1741.7485327341965</v>
      </c>
      <c r="AB29" s="10">
        <v>-5683</v>
      </c>
      <c r="AC29" s="10">
        <v>-4053</v>
      </c>
      <c r="AD29" s="10">
        <v>-6492</v>
      </c>
      <c r="AE29" s="10">
        <v>-4439</v>
      </c>
      <c r="AF29" s="10">
        <v>-4818</v>
      </c>
      <c r="AG29" s="10">
        <v>-3249</v>
      </c>
      <c r="AH29" s="10">
        <f>-2647</f>
        <v>-2647</v>
      </c>
      <c r="AI29" s="10">
        <v>-3886</v>
      </c>
      <c r="AJ29" s="10">
        <v>-2315</v>
      </c>
      <c r="AK29" s="10">
        <v>-2246</v>
      </c>
      <c r="AL29" s="10">
        <v>-2318</v>
      </c>
      <c r="AM29" s="10">
        <v>-2782</v>
      </c>
      <c r="AN29" s="10">
        <v>-2982</v>
      </c>
    </row>
    <row r="30" spans="2:45" s="15" customFormat="1" ht="12" customHeight="1" x14ac:dyDescent="0.2">
      <c r="B30" s="197" t="s">
        <v>342</v>
      </c>
      <c r="C30" s="198"/>
      <c r="D30" s="9"/>
      <c r="E30" s="9"/>
      <c r="F30" s="9"/>
      <c r="G30" s="9"/>
      <c r="H30" s="9">
        <v>0</v>
      </c>
      <c r="I30" s="7">
        <v>0</v>
      </c>
      <c r="J30" s="7">
        <v>0</v>
      </c>
      <c r="K30" s="9">
        <v>0</v>
      </c>
      <c r="L30" s="7">
        <v>0</v>
      </c>
      <c r="M30" s="7">
        <v>0</v>
      </c>
      <c r="N30" s="7">
        <v>0</v>
      </c>
      <c r="O30" s="9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4283</v>
      </c>
      <c r="AH30" s="10">
        <v>0</v>
      </c>
      <c r="AI30" s="10">
        <v>0</v>
      </c>
      <c r="AJ30" s="10"/>
      <c r="AK30" s="10">
        <v>0</v>
      </c>
      <c r="AL30" s="10">
        <v>0</v>
      </c>
      <c r="AM30" s="10">
        <v>0</v>
      </c>
      <c r="AN30" s="10">
        <v>0</v>
      </c>
      <c r="AO30" s="3"/>
      <c r="AP30" s="3"/>
      <c r="AQ30" s="3"/>
      <c r="AR30" s="3"/>
      <c r="AS30" s="3"/>
    </row>
    <row r="31" spans="2:45" ht="12" customHeight="1" x14ac:dyDescent="0.2">
      <c r="B31" s="173" t="s">
        <v>9</v>
      </c>
      <c r="C31" s="173"/>
      <c r="D31" s="44"/>
      <c r="E31" s="44"/>
      <c r="F31" s="44"/>
      <c r="G31" s="44"/>
      <c r="H31" s="44" cm="1">
        <f t="array" ref="H31">SUM(H26:H27+H30)</f>
        <v>19523</v>
      </c>
      <c r="I31" s="44" cm="1">
        <f t="array" ref="I31">SUM(I26:I27+I30)</f>
        <v>26568</v>
      </c>
      <c r="J31" s="44" cm="1">
        <f t="array" ref="J31">SUM(J26:J27+J30)</f>
        <v>22730.430077983998</v>
      </c>
      <c r="K31" s="44" cm="1">
        <f t="array" ref="K31">SUM(K26:K27+K30)</f>
        <v>22952.569922016002</v>
      </c>
      <c r="L31" s="44" cm="1">
        <f t="array" ref="L31">SUM(L26:L27+L30)</f>
        <v>21827</v>
      </c>
      <c r="M31" s="44" cm="1">
        <f t="array" ref="M31">SUM(M26:M27+M30)</f>
        <v>19342</v>
      </c>
      <c r="N31" s="44" cm="1">
        <f t="array" ref="N31">SUM(N26:N27+N30)</f>
        <v>14796.66512999999</v>
      </c>
      <c r="O31" s="44" cm="1">
        <f t="array" ref="O31">SUM(O26:O27+O30)</f>
        <v>17918.33487000001</v>
      </c>
      <c r="P31" s="44" cm="1">
        <f t="array" ref="P31">SUM(P26:P27+P30)</f>
        <v>24175</v>
      </c>
      <c r="Q31" s="44" cm="1">
        <f t="array" ref="Q31">SUM(Q26:Q27+Q30)</f>
        <v>19673</v>
      </c>
      <c r="R31" s="44" cm="1">
        <f t="array" ref="R31">SUM(R26:R27+R30)</f>
        <v>20785.234245192398</v>
      </c>
      <c r="S31" s="44" cm="1">
        <f t="array" ref="S31">SUM(S26:S27+S30)</f>
        <v>17283.765754807602</v>
      </c>
      <c r="T31" s="44" cm="1">
        <f t="array" ref="T31">SUM(T26:T27+T30)</f>
        <v>54031</v>
      </c>
      <c r="U31" s="44" cm="1">
        <f t="array" ref="U31">SUM(U26:U27+U30)</f>
        <v>13136</v>
      </c>
      <c r="V31" s="44" cm="1">
        <f t="array" ref="V31">SUM(V26:V27+V30)</f>
        <v>16502.28301499999</v>
      </c>
      <c r="W31" s="44" cm="1">
        <f t="array" ref="W31">SUM(W26:W27+W30)</f>
        <v>1574.7169850000082</v>
      </c>
      <c r="X31" s="44" cm="1">
        <f t="array" ref="X31">SUM(X26:X27+X30)</f>
        <v>-1385</v>
      </c>
      <c r="Y31" s="44" cm="1">
        <f t="array" ref="Y31">SUM(Y26:Y27+Y30)</f>
        <v>5433.3140900000008</v>
      </c>
      <c r="Z31" s="44" cm="1">
        <f t="array" ref="Z31">SUM(Z26:Z27+Z30)</f>
        <v>-2621.9772272657992</v>
      </c>
      <c r="AA31" s="44" cm="1">
        <f t="array" ref="AA31">SUM(AA26:AA27+AA30)</f>
        <v>14488.663137265798</v>
      </c>
      <c r="AB31" s="44" cm="1">
        <f t="array" ref="AB31">SUM(AB26:AB27+AB30)</f>
        <v>13286</v>
      </c>
      <c r="AC31" s="44" cm="1">
        <f t="array" ref="AC31">SUM(AC26:AC27+AC30)</f>
        <v>11412</v>
      </c>
      <c r="AD31" s="44" cm="1">
        <f t="array" ref="AD31">SUM(AD26:AD27+AD30)</f>
        <v>11574</v>
      </c>
      <c r="AE31" s="44" cm="1">
        <f t="array" ref="AE31">SUM(AE26:AE27+AE30)</f>
        <v>-8728</v>
      </c>
      <c r="AF31" s="44" cm="1">
        <f t="array" ref="AF31">SUM(AF26:AF27+AF30)</f>
        <v>15378</v>
      </c>
      <c r="AG31" s="44">
        <f t="shared" ref="AG31:AM31" si="71">SUM(AG26:AG27)+AG30</f>
        <v>33626</v>
      </c>
      <c r="AH31" s="44">
        <f t="shared" si="71"/>
        <v>21739</v>
      </c>
      <c r="AI31" s="44">
        <f t="shared" si="71"/>
        <v>11075</v>
      </c>
      <c r="AJ31" s="44">
        <f t="shared" si="71"/>
        <v>16221</v>
      </c>
      <c r="AK31" s="44">
        <f t="shared" si="71"/>
        <v>23028</v>
      </c>
      <c r="AL31" s="44">
        <f t="shared" si="71"/>
        <v>21978</v>
      </c>
      <c r="AM31" s="44">
        <f t="shared" si="71"/>
        <v>19400</v>
      </c>
      <c r="AN31" s="44">
        <f t="shared" ref="AN31" si="72">SUM(AN26:AN27)+AN30</f>
        <v>26035</v>
      </c>
    </row>
    <row r="32" spans="2:45" ht="12" customHeight="1" x14ac:dyDescent="0.2">
      <c r="B32" s="18"/>
      <c r="C32" s="19" t="s">
        <v>10</v>
      </c>
      <c r="D32" s="9"/>
      <c r="E32" s="9"/>
      <c r="F32" s="9"/>
      <c r="G32" s="9"/>
      <c r="H32" s="9">
        <v>-4431</v>
      </c>
      <c r="I32" s="13">
        <v>-5081</v>
      </c>
      <c r="J32" s="13">
        <v>-3784</v>
      </c>
      <c r="K32" s="9">
        <v>-3662</v>
      </c>
      <c r="L32" s="13">
        <v>-5048</v>
      </c>
      <c r="M32" s="13">
        <v>-3534</v>
      </c>
      <c r="N32" s="13">
        <v>-4206</v>
      </c>
      <c r="O32" s="9">
        <v>-2871</v>
      </c>
      <c r="P32" s="13">
        <v>-6113</v>
      </c>
      <c r="Q32" s="13">
        <v>-3866</v>
      </c>
      <c r="R32" s="14">
        <v>-1893</v>
      </c>
      <c r="S32" s="14">
        <v>-3607</v>
      </c>
      <c r="T32" s="10">
        <v>-16956</v>
      </c>
      <c r="U32" s="10">
        <v>-2749</v>
      </c>
      <c r="V32" s="10">
        <v>-3061</v>
      </c>
      <c r="W32" s="10">
        <v>-2163</v>
      </c>
      <c r="X32" s="10">
        <v>-3817</v>
      </c>
      <c r="Y32" s="10">
        <v>-737</v>
      </c>
      <c r="Z32" s="10">
        <v>-1454</v>
      </c>
      <c r="AA32" s="10">
        <v>-3011</v>
      </c>
      <c r="AB32" s="10">
        <v>-4623</v>
      </c>
      <c r="AC32" s="10">
        <v>700</v>
      </c>
      <c r="AD32" s="10">
        <v>-1701</v>
      </c>
      <c r="AE32" s="10">
        <v>-1702</v>
      </c>
      <c r="AF32" s="10">
        <v>-3309</v>
      </c>
      <c r="AG32" s="10">
        <v>-5141</v>
      </c>
      <c r="AH32" s="10">
        <v>-3325</v>
      </c>
      <c r="AI32" s="10">
        <v>-944</v>
      </c>
      <c r="AJ32" s="10">
        <v>-4390</v>
      </c>
      <c r="AK32" s="10">
        <v>-646</v>
      </c>
      <c r="AL32" s="10">
        <v>1609</v>
      </c>
      <c r="AM32" s="10">
        <v>-5220</v>
      </c>
      <c r="AN32" s="10">
        <v>-4643</v>
      </c>
    </row>
    <row r="33" spans="2:46" ht="12" customHeight="1" x14ac:dyDescent="0.2">
      <c r="B33" s="18"/>
      <c r="C33" s="19" t="s">
        <v>11</v>
      </c>
      <c r="D33" s="9"/>
      <c r="E33" s="9"/>
      <c r="F33" s="9"/>
      <c r="G33" s="9"/>
      <c r="H33" s="9">
        <v>-488</v>
      </c>
      <c r="I33" s="9">
        <v>-67</v>
      </c>
      <c r="J33" s="9">
        <v>-1701</v>
      </c>
      <c r="K33" s="9">
        <v>-3324</v>
      </c>
      <c r="L33" s="9">
        <v>-1352</v>
      </c>
      <c r="M33" s="9">
        <v>-409</v>
      </c>
      <c r="N33" s="9">
        <v>119</v>
      </c>
      <c r="O33" s="9">
        <v>-1296</v>
      </c>
      <c r="P33" s="9">
        <v>-725</v>
      </c>
      <c r="Q33" s="9">
        <v>-725</v>
      </c>
      <c r="R33" s="9">
        <v>-1983</v>
      </c>
      <c r="S33" s="9">
        <v>-768</v>
      </c>
      <c r="T33" s="10">
        <v>4279</v>
      </c>
      <c r="U33" s="10">
        <v>-529</v>
      </c>
      <c r="V33" s="10">
        <v>-422</v>
      </c>
      <c r="W33" s="10">
        <v>-307</v>
      </c>
      <c r="X33" s="10">
        <v>1357</v>
      </c>
      <c r="Y33" s="10">
        <v>-797</v>
      </c>
      <c r="Z33" s="10">
        <v>715</v>
      </c>
      <c r="AA33" s="10">
        <v>-966</v>
      </c>
      <c r="AB33" s="10">
        <v>137</v>
      </c>
      <c r="AC33" s="10">
        <v>-8008</v>
      </c>
      <c r="AD33" s="10">
        <v>-1478</v>
      </c>
      <c r="AE33" s="10">
        <v>-2365</v>
      </c>
      <c r="AF33" s="10">
        <v>-50</v>
      </c>
      <c r="AG33" s="10">
        <v>-1984</v>
      </c>
      <c r="AH33" s="10">
        <v>-877</v>
      </c>
      <c r="AI33" s="10">
        <v>7026</v>
      </c>
      <c r="AJ33" s="10">
        <v>354</v>
      </c>
      <c r="AK33" s="10">
        <v>-4334</v>
      </c>
      <c r="AL33" s="10">
        <v>-477</v>
      </c>
      <c r="AM33" s="10">
        <v>11648</v>
      </c>
      <c r="AN33" s="10">
        <v>-1306</v>
      </c>
    </row>
    <row r="34" spans="2:46" ht="12" customHeight="1" x14ac:dyDescent="0.2">
      <c r="B34" s="173" t="s">
        <v>12</v>
      </c>
      <c r="C34" s="173"/>
      <c r="D34" s="44"/>
      <c r="E34" s="44"/>
      <c r="F34" s="44"/>
      <c r="G34" s="44"/>
      <c r="H34" s="44">
        <f t="shared" ref="H34:S34" si="73">SUM(H31:H33)</f>
        <v>14604</v>
      </c>
      <c r="I34" s="44">
        <f t="shared" si="73"/>
        <v>21420</v>
      </c>
      <c r="J34" s="44">
        <f t="shared" si="73"/>
        <v>17245.430077983998</v>
      </c>
      <c r="K34" s="44">
        <f t="shared" si="73"/>
        <v>15966.569922016002</v>
      </c>
      <c r="L34" s="44">
        <f t="shared" si="73"/>
        <v>15427</v>
      </c>
      <c r="M34" s="44">
        <f t="shared" si="73"/>
        <v>15399</v>
      </c>
      <c r="N34" s="44">
        <f t="shared" si="73"/>
        <v>10709.66512999999</v>
      </c>
      <c r="O34" s="44">
        <f t="shared" si="73"/>
        <v>13751.33487000001</v>
      </c>
      <c r="P34" s="44">
        <f t="shared" si="73"/>
        <v>17337</v>
      </c>
      <c r="Q34" s="44">
        <f t="shared" si="73"/>
        <v>15082</v>
      </c>
      <c r="R34" s="44">
        <f t="shared" si="73"/>
        <v>16909.234245192398</v>
      </c>
      <c r="S34" s="44">
        <f t="shared" si="73"/>
        <v>12908.765754807602</v>
      </c>
      <c r="T34" s="44">
        <f t="shared" ref="T34:U34" si="74">SUM(T31:T33)</f>
        <v>41354</v>
      </c>
      <c r="U34" s="44">
        <f t="shared" si="74"/>
        <v>9858</v>
      </c>
      <c r="V34" s="44">
        <f t="shared" ref="V34:W34" si="75">SUM(V31:V33)</f>
        <v>13019.28301499999</v>
      </c>
      <c r="W34" s="44">
        <f t="shared" si="75"/>
        <v>-895.28301499999179</v>
      </c>
      <c r="X34" s="44">
        <f t="shared" ref="X34:Z34" si="76">SUM(X31:X33)</f>
        <v>-3845</v>
      </c>
      <c r="Y34" s="44">
        <f t="shared" si="76"/>
        <v>3899.3140900000008</v>
      </c>
      <c r="Z34" s="44">
        <f t="shared" si="76"/>
        <v>-3360.9772272657992</v>
      </c>
      <c r="AA34" s="44">
        <f t="shared" ref="AA34:AE34" si="77">SUM(AA31:AA33)</f>
        <v>10511.663137265798</v>
      </c>
      <c r="AB34" s="44">
        <f t="shared" si="77"/>
        <v>8800</v>
      </c>
      <c r="AC34" s="44">
        <f t="shared" si="77"/>
        <v>4104</v>
      </c>
      <c r="AD34" s="44">
        <f t="shared" si="77"/>
        <v>8395</v>
      </c>
      <c r="AE34" s="44">
        <f t="shared" si="77"/>
        <v>-12795</v>
      </c>
      <c r="AF34" s="44">
        <f t="shared" ref="AF34:AH34" si="78">SUM(AF31:AF33)</f>
        <v>12019</v>
      </c>
      <c r="AG34" s="44">
        <f t="shared" si="78"/>
        <v>26501</v>
      </c>
      <c r="AH34" s="44">
        <f t="shared" si="78"/>
        <v>17537</v>
      </c>
      <c r="AI34" s="44">
        <f t="shared" ref="AI34:AM34" si="79">SUM(AI31:AI33)</f>
        <v>17157</v>
      </c>
      <c r="AJ34" s="44">
        <f t="shared" si="79"/>
        <v>12185</v>
      </c>
      <c r="AK34" s="44">
        <f t="shared" si="79"/>
        <v>18048</v>
      </c>
      <c r="AL34" s="44">
        <f t="shared" si="79"/>
        <v>23110</v>
      </c>
      <c r="AM34" s="44">
        <f t="shared" si="79"/>
        <v>25828</v>
      </c>
      <c r="AN34" s="44">
        <f t="shared" ref="AN34" si="80">SUM(AN31:AN33)</f>
        <v>20086</v>
      </c>
      <c r="AT34" s="15"/>
    </row>
    <row r="35" spans="2:46" s="15" customFormat="1" ht="12" customHeight="1" x14ac:dyDescent="0.2">
      <c r="B35" s="199" t="s">
        <v>13</v>
      </c>
      <c r="C35" s="20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3"/>
      <c r="AP35" s="3"/>
      <c r="AQ35" s="3"/>
      <c r="AR35" s="3"/>
      <c r="AS35" s="3"/>
      <c r="AT35" s="3"/>
    </row>
    <row r="36" spans="2:46" ht="12" customHeight="1" x14ac:dyDescent="0.2">
      <c r="B36" s="18"/>
      <c r="C36" s="19" t="s">
        <v>14</v>
      </c>
      <c r="D36" s="9"/>
      <c r="E36" s="9"/>
      <c r="F36" s="9"/>
      <c r="G36" s="9"/>
      <c r="H36" s="9">
        <v>540</v>
      </c>
      <c r="I36" s="14">
        <v>123</v>
      </c>
      <c r="J36" s="14">
        <v>386</v>
      </c>
      <c r="K36" s="9">
        <v>120</v>
      </c>
      <c r="L36" s="14">
        <v>0</v>
      </c>
      <c r="M36" s="14">
        <v>0</v>
      </c>
      <c r="N36" s="14">
        <v>0</v>
      </c>
      <c r="O36" s="9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Q36" s="15"/>
      <c r="AT36" s="15"/>
    </row>
    <row r="37" spans="2:46" s="15" customFormat="1" ht="12" customHeight="1" x14ac:dyDescent="0.2">
      <c r="B37" s="199" t="s">
        <v>15</v>
      </c>
      <c r="C37" s="200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R37" s="3"/>
      <c r="AS37" s="3"/>
      <c r="AT37" s="3"/>
    </row>
    <row r="38" spans="2:46" ht="12" customHeight="1" x14ac:dyDescent="0.2">
      <c r="B38" s="173" t="s">
        <v>16</v>
      </c>
      <c r="C38" s="173"/>
      <c r="D38" s="44"/>
      <c r="E38" s="44"/>
      <c r="F38" s="44"/>
      <c r="G38" s="44"/>
      <c r="H38" s="44">
        <f t="shared" ref="H38:L38" si="81">H34+H36</f>
        <v>15144</v>
      </c>
      <c r="I38" s="44">
        <f t="shared" si="81"/>
        <v>21543</v>
      </c>
      <c r="J38" s="44">
        <f t="shared" si="81"/>
        <v>17631.430077983998</v>
      </c>
      <c r="K38" s="44">
        <f t="shared" si="81"/>
        <v>16086.569922016002</v>
      </c>
      <c r="L38" s="44">
        <f t="shared" si="81"/>
        <v>15427</v>
      </c>
      <c r="M38" s="44">
        <f>M34+M36</f>
        <v>15399</v>
      </c>
      <c r="N38" s="44">
        <f>N34+N36</f>
        <v>10709.66512999999</v>
      </c>
      <c r="O38" s="44">
        <f>O34+O36</f>
        <v>13751.33487000001</v>
      </c>
      <c r="P38" s="44">
        <f>P34+P36</f>
        <v>17337</v>
      </c>
      <c r="Q38" s="44">
        <f t="shared" ref="Q38:S38" si="82">Q34+Q36</f>
        <v>15082</v>
      </c>
      <c r="R38" s="44">
        <f t="shared" si="82"/>
        <v>16909.234245192398</v>
      </c>
      <c r="S38" s="44">
        <f t="shared" si="82"/>
        <v>12908.765754807602</v>
      </c>
      <c r="T38" s="44">
        <f t="shared" ref="T38:U38" si="83">T34+T36</f>
        <v>41354</v>
      </c>
      <c r="U38" s="44">
        <f t="shared" si="83"/>
        <v>9858</v>
      </c>
      <c r="V38" s="44">
        <f t="shared" ref="V38:W38" si="84">V34+V36</f>
        <v>13019.28301499999</v>
      </c>
      <c r="W38" s="44">
        <f t="shared" si="84"/>
        <v>-895.28301499999179</v>
      </c>
      <c r="X38" s="44">
        <f t="shared" ref="X38:Z38" si="85">X34+X36</f>
        <v>-3845</v>
      </c>
      <c r="Y38" s="44">
        <f t="shared" si="85"/>
        <v>3899.3140900000008</v>
      </c>
      <c r="Z38" s="44">
        <f t="shared" si="85"/>
        <v>-3360.9772272657992</v>
      </c>
      <c r="AA38" s="44">
        <f t="shared" ref="AA38:AE38" si="86">AA34+AA36</f>
        <v>10511.663137265798</v>
      </c>
      <c r="AB38" s="44">
        <f t="shared" si="86"/>
        <v>8800</v>
      </c>
      <c r="AC38" s="44">
        <f t="shared" si="86"/>
        <v>4104</v>
      </c>
      <c r="AD38" s="44">
        <f t="shared" si="86"/>
        <v>8395</v>
      </c>
      <c r="AE38" s="44">
        <f t="shared" si="86"/>
        <v>-12795</v>
      </c>
      <c r="AF38" s="44">
        <f t="shared" ref="AF38:AH38" si="87">AF34+AF36</f>
        <v>12019</v>
      </c>
      <c r="AG38" s="44">
        <f t="shared" si="87"/>
        <v>26501</v>
      </c>
      <c r="AH38" s="44">
        <f t="shared" si="87"/>
        <v>17537</v>
      </c>
      <c r="AI38" s="44">
        <f t="shared" ref="AI38:AM38" si="88">AI34+AI36</f>
        <v>17157</v>
      </c>
      <c r="AJ38" s="44">
        <f t="shared" si="88"/>
        <v>12185</v>
      </c>
      <c r="AK38" s="44">
        <f t="shared" si="88"/>
        <v>18048</v>
      </c>
      <c r="AL38" s="44">
        <f t="shared" si="88"/>
        <v>23110</v>
      </c>
      <c r="AM38" s="44">
        <f t="shared" si="88"/>
        <v>25828</v>
      </c>
      <c r="AN38" s="44">
        <f t="shared" ref="AN38" si="89">AN34+AN36</f>
        <v>20086</v>
      </c>
      <c r="AO38" s="15"/>
      <c r="AP38" s="15"/>
      <c r="AQ38" s="15"/>
      <c r="AT38" s="15"/>
    </row>
    <row r="39" spans="2:46" s="15" customFormat="1" ht="12" customHeight="1" x14ac:dyDescent="0.2">
      <c r="B39" s="199"/>
      <c r="C39" s="20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</row>
    <row r="40" spans="2:46" ht="12" customHeight="1" x14ac:dyDescent="0.2">
      <c r="B40" s="173" t="s">
        <v>8</v>
      </c>
      <c r="C40" s="173"/>
      <c r="D40" s="44"/>
      <c r="E40" s="44"/>
      <c r="F40" s="44"/>
      <c r="G40" s="44"/>
      <c r="H40" s="44">
        <f t="shared" ref="H40:S40" si="90">H26</f>
        <v>19467</v>
      </c>
      <c r="I40" s="44">
        <f t="shared" si="90"/>
        <v>25211</v>
      </c>
      <c r="J40" s="44">
        <f t="shared" si="90"/>
        <v>23641.048467984001</v>
      </c>
      <c r="K40" s="44">
        <f t="shared" si="90"/>
        <v>22805.951532015999</v>
      </c>
      <c r="L40" s="44">
        <f t="shared" si="90"/>
        <v>21619</v>
      </c>
      <c r="M40" s="44">
        <f t="shared" si="90"/>
        <v>19939</v>
      </c>
      <c r="N40" s="44">
        <f t="shared" si="90"/>
        <v>15218.995629999998</v>
      </c>
      <c r="O40" s="44">
        <f t="shared" si="90"/>
        <v>19640.004370000002</v>
      </c>
      <c r="P40" s="44">
        <f t="shared" si="90"/>
        <v>20384</v>
      </c>
      <c r="Q40" s="44">
        <f t="shared" si="90"/>
        <v>20026</v>
      </c>
      <c r="R40" s="44">
        <f t="shared" si="90"/>
        <v>19764.102977401999</v>
      </c>
      <c r="S40" s="44">
        <f t="shared" si="90"/>
        <v>18416.897022598005</v>
      </c>
      <c r="T40" s="44">
        <f t="shared" ref="T40:U40" si="91">T26</f>
        <v>56414</v>
      </c>
      <c r="U40" s="44">
        <f t="shared" si="91"/>
        <v>16205</v>
      </c>
      <c r="V40" s="44">
        <f t="shared" ref="V40:W40" si="92">V26</f>
        <v>16949.906500000001</v>
      </c>
      <c r="W40" s="44">
        <f t="shared" si="92"/>
        <v>5232.0934999999972</v>
      </c>
      <c r="X40" s="44">
        <f t="shared" ref="X40:Z40" si="93">X26</f>
        <v>2240</v>
      </c>
      <c r="Y40" s="44">
        <f t="shared" si="93"/>
        <v>11628.799300000001</v>
      </c>
      <c r="Z40" s="44">
        <f t="shared" si="93"/>
        <v>4561.0430400000005</v>
      </c>
      <c r="AA40" s="44">
        <f t="shared" ref="AA40:AE40" si="94">AA26</f>
        <v>12910.157659999999</v>
      </c>
      <c r="AB40" s="44">
        <f t="shared" si="94"/>
        <v>17676</v>
      </c>
      <c r="AC40" s="44">
        <f t="shared" si="94"/>
        <v>13379</v>
      </c>
      <c r="AD40" s="44">
        <f t="shared" si="94"/>
        <v>16814</v>
      </c>
      <c r="AE40" s="44">
        <f t="shared" si="94"/>
        <v>-7737</v>
      </c>
      <c r="AF40" s="44">
        <f t="shared" ref="AF40:AH40" si="95">AF26</f>
        <v>18621</v>
      </c>
      <c r="AG40" s="44">
        <f t="shared" si="95"/>
        <v>30334</v>
      </c>
      <c r="AH40" s="44">
        <f t="shared" si="95"/>
        <v>24137</v>
      </c>
      <c r="AI40" s="44">
        <f t="shared" ref="AI40:AM40" si="96">AI26</f>
        <v>12042</v>
      </c>
      <c r="AJ40" s="44">
        <f t="shared" si="96"/>
        <v>17926</v>
      </c>
      <c r="AK40" s="44">
        <f t="shared" si="96"/>
        <v>23305</v>
      </c>
      <c r="AL40" s="44">
        <f t="shared" si="96"/>
        <v>24859</v>
      </c>
      <c r="AM40" s="44">
        <f t="shared" si="96"/>
        <v>22176</v>
      </c>
      <c r="AN40" s="44">
        <f t="shared" ref="AN40" si="97">AN26</f>
        <v>28858</v>
      </c>
    </row>
    <row r="41" spans="2:46" ht="12" customHeight="1" x14ac:dyDescent="0.2">
      <c r="B41" s="11"/>
      <c r="C41" s="12" t="s">
        <v>22</v>
      </c>
      <c r="D41" s="9"/>
      <c r="E41" s="9"/>
      <c r="F41" s="9"/>
      <c r="G41" s="9"/>
      <c r="H41" s="9">
        <v>10037</v>
      </c>
      <c r="I41" s="14">
        <v>10339</v>
      </c>
      <c r="J41" s="14">
        <v>10560</v>
      </c>
      <c r="K41" s="9">
        <v>10846</v>
      </c>
      <c r="L41" s="14">
        <v>11696</v>
      </c>
      <c r="M41" s="14">
        <v>12975</v>
      </c>
      <c r="N41" s="14">
        <v>12361</v>
      </c>
      <c r="O41" s="9">
        <v>12839</v>
      </c>
      <c r="P41" s="14">
        <v>12789</v>
      </c>
      <c r="Q41" s="14">
        <v>12981</v>
      </c>
      <c r="R41" s="14">
        <v>13719</v>
      </c>
      <c r="S41" s="14">
        <v>13020</v>
      </c>
      <c r="T41" s="10">
        <v>13569</v>
      </c>
      <c r="U41" s="10">
        <v>13735</v>
      </c>
      <c r="V41" s="10">
        <v>14163</v>
      </c>
      <c r="W41" s="10">
        <v>14305</v>
      </c>
      <c r="X41" s="10">
        <v>14141</v>
      </c>
      <c r="Y41" s="10">
        <v>14163</v>
      </c>
      <c r="Z41" s="10">
        <v>13579</v>
      </c>
      <c r="AA41" s="10">
        <v>13844</v>
      </c>
      <c r="AB41" s="10">
        <v>13877</v>
      </c>
      <c r="AC41" s="10">
        <v>14066</v>
      </c>
      <c r="AD41" s="10">
        <v>14568</v>
      </c>
      <c r="AE41" s="10">
        <v>13903</v>
      </c>
      <c r="AF41" s="10">
        <v>13293</v>
      </c>
      <c r="AG41" s="10">
        <v>14338</v>
      </c>
      <c r="AH41" s="10">
        <v>14069</v>
      </c>
      <c r="AI41" s="10">
        <v>15612</v>
      </c>
      <c r="AJ41" s="10">
        <v>17044</v>
      </c>
      <c r="AK41" s="10">
        <v>16855</v>
      </c>
      <c r="AL41" s="10">
        <v>17570</v>
      </c>
      <c r="AM41" s="10">
        <v>18195</v>
      </c>
      <c r="AN41" s="10">
        <v>18478</v>
      </c>
    </row>
    <row r="42" spans="2:46" ht="12" customHeight="1" x14ac:dyDescent="0.2">
      <c r="B42" s="173" t="s">
        <v>23</v>
      </c>
      <c r="C42" s="173"/>
      <c r="D42" s="44"/>
      <c r="E42" s="44"/>
      <c r="F42" s="44"/>
      <c r="G42" s="44"/>
      <c r="H42" s="44">
        <f t="shared" ref="H42:S42" si="98">SUM(H40:H41)</f>
        <v>29504</v>
      </c>
      <c r="I42" s="44">
        <f t="shared" si="98"/>
        <v>35550</v>
      </c>
      <c r="J42" s="44">
        <f t="shared" si="98"/>
        <v>34201.048467984001</v>
      </c>
      <c r="K42" s="44">
        <f t="shared" si="98"/>
        <v>33651.951532015999</v>
      </c>
      <c r="L42" s="44">
        <f t="shared" si="98"/>
        <v>33315</v>
      </c>
      <c r="M42" s="44">
        <f t="shared" si="98"/>
        <v>32914</v>
      </c>
      <c r="N42" s="44">
        <f t="shared" si="98"/>
        <v>27579.995629999998</v>
      </c>
      <c r="O42" s="44">
        <f t="shared" si="98"/>
        <v>32479.004370000002</v>
      </c>
      <c r="P42" s="44">
        <f t="shared" si="98"/>
        <v>33173</v>
      </c>
      <c r="Q42" s="44">
        <f t="shared" si="98"/>
        <v>33007</v>
      </c>
      <c r="R42" s="44">
        <f t="shared" si="98"/>
        <v>33483.102977401999</v>
      </c>
      <c r="S42" s="44">
        <f t="shared" si="98"/>
        <v>31436.897022598005</v>
      </c>
      <c r="T42" s="44">
        <f t="shared" ref="T42:U42" si="99">SUM(T40:T41)</f>
        <v>69983</v>
      </c>
      <c r="U42" s="44">
        <f t="shared" si="99"/>
        <v>29940</v>
      </c>
      <c r="V42" s="44">
        <f t="shared" ref="V42:W42" si="100">SUM(V40:V41)</f>
        <v>31112.906500000001</v>
      </c>
      <c r="W42" s="44">
        <f t="shared" si="100"/>
        <v>19537.093499999995</v>
      </c>
      <c r="X42" s="44">
        <f t="shared" ref="X42:Z42" si="101">SUM(X40:X41)</f>
        <v>16381</v>
      </c>
      <c r="Y42" s="44">
        <f t="shared" si="101"/>
        <v>25791.799299999999</v>
      </c>
      <c r="Z42" s="44">
        <f t="shared" si="101"/>
        <v>18140.04304</v>
      </c>
      <c r="AA42" s="44">
        <f t="shared" ref="AA42:AB42" si="102">SUM(AA40:AA41)</f>
        <v>26754.157659999997</v>
      </c>
      <c r="AB42" s="44">
        <f t="shared" si="102"/>
        <v>31553</v>
      </c>
      <c r="AC42" s="44">
        <f t="shared" ref="AC42:AE42" si="103">SUM(AC40:AC41)</f>
        <v>27445</v>
      </c>
      <c r="AD42" s="44">
        <f t="shared" si="103"/>
        <v>31382</v>
      </c>
      <c r="AE42" s="44">
        <f t="shared" si="103"/>
        <v>6166</v>
      </c>
      <c r="AF42" s="44">
        <f t="shared" ref="AF42:AH42" si="104">SUM(AF40:AF41)</f>
        <v>31914</v>
      </c>
      <c r="AG42" s="44">
        <f t="shared" si="104"/>
        <v>44672</v>
      </c>
      <c r="AH42" s="44">
        <f t="shared" si="104"/>
        <v>38206</v>
      </c>
      <c r="AI42" s="44">
        <f t="shared" ref="AI42:AK42" si="105">SUM(AI40:AI41)</f>
        <v>27654</v>
      </c>
      <c r="AJ42" s="44">
        <f t="shared" si="105"/>
        <v>34970</v>
      </c>
      <c r="AK42" s="44">
        <f t="shared" si="105"/>
        <v>40160</v>
      </c>
      <c r="AL42" s="44">
        <f t="shared" ref="AL42:AM42" si="106">SUM(AL40:AL41)</f>
        <v>42429</v>
      </c>
      <c r="AM42" s="44">
        <f t="shared" si="106"/>
        <v>40371</v>
      </c>
      <c r="AN42" s="44">
        <f t="shared" ref="AN42" si="107">SUM(AN40:AN41)</f>
        <v>47336</v>
      </c>
      <c r="AO42" s="15"/>
    </row>
    <row r="43" spans="2:46" ht="12" customHeight="1" x14ac:dyDescent="0.2">
      <c r="B43" s="11" t="s">
        <v>228</v>
      </c>
      <c r="C43" s="12"/>
      <c r="D43" s="9"/>
      <c r="E43" s="9"/>
      <c r="F43" s="9"/>
      <c r="G43" s="9"/>
      <c r="H43" s="100">
        <f t="shared" ref="H43:R43" si="108">H42/H10</f>
        <v>0.16189906550261474</v>
      </c>
      <c r="I43" s="100">
        <f t="shared" si="108"/>
        <v>0.1757299838358074</v>
      </c>
      <c r="J43" s="100">
        <f t="shared" si="108"/>
        <v>0.16916389336068891</v>
      </c>
      <c r="K43" s="100">
        <f t="shared" si="108"/>
        <v>0.13958310637157231</v>
      </c>
      <c r="L43" s="100">
        <f t="shared" si="108"/>
        <v>0.15679196532363199</v>
      </c>
      <c r="M43" s="100">
        <f t="shared" si="108"/>
        <v>0.15615185357383457</v>
      </c>
      <c r="N43" s="100">
        <f t="shared" si="108"/>
        <v>0.12508218159141929</v>
      </c>
      <c r="O43" s="100">
        <f t="shared" si="108"/>
        <v>0.13889591625790615</v>
      </c>
      <c r="P43" s="100">
        <f t="shared" si="108"/>
        <v>0.14774022873837603</v>
      </c>
      <c r="Q43" s="100">
        <f t="shared" si="108"/>
        <v>0.13903069820730557</v>
      </c>
      <c r="R43" s="100">
        <f t="shared" si="108"/>
        <v>0.13715500592891375</v>
      </c>
      <c r="S43" s="100">
        <f t="shared" ref="S43:T43" si="109">S42/S10</f>
        <v>0.13741103690269257</v>
      </c>
      <c r="T43" s="100">
        <f t="shared" si="109"/>
        <v>0.31173106219209079</v>
      </c>
      <c r="U43" s="100">
        <f t="shared" ref="U43:V43" si="110">U42/U10</f>
        <v>0.12610669789148254</v>
      </c>
      <c r="V43" s="103">
        <f t="shared" si="110"/>
        <v>0.12956369099177134</v>
      </c>
      <c r="W43" s="103">
        <f t="shared" ref="W43:Y43" si="111">W42/W10</f>
        <v>8.2077937327490941E-2</v>
      </c>
      <c r="X43" s="103">
        <f t="shared" si="111"/>
        <v>6.9099775165251426E-2</v>
      </c>
      <c r="Y43" s="103">
        <f t="shared" si="111"/>
        <v>0.10047017580080324</v>
      </c>
      <c r="Z43" s="103">
        <f t="shared" ref="Z43:AA43" si="112">Z42/Z10</f>
        <v>6.4503435102017601E-2</v>
      </c>
      <c r="AA43" s="103">
        <f t="shared" si="112"/>
        <v>8.7206177670864943E-2</v>
      </c>
      <c r="AB43" s="103">
        <f t="shared" ref="AB43:AC43" si="113">AB42/AB10</f>
        <v>0.10936687625214034</v>
      </c>
      <c r="AC43" s="103">
        <f t="shared" si="113"/>
        <v>9.9595376771360655E-2</v>
      </c>
      <c r="AD43" s="103">
        <f t="shared" ref="AD43:AE43" si="114">AD42/AD10</f>
        <v>0.10870370947684911</v>
      </c>
      <c r="AE43" s="103">
        <f t="shared" si="114"/>
        <v>2.1679969058753207E-2</v>
      </c>
      <c r="AF43" s="103">
        <f t="shared" ref="AF43:AG43" si="115">AF42/AF10</f>
        <v>0.10768042054545393</v>
      </c>
      <c r="AG43" s="103">
        <f t="shared" si="115"/>
        <v>0.13214495951818206</v>
      </c>
      <c r="AH43" s="103">
        <f t="shared" ref="AH43:AI43" si="116">AH42/AH10</f>
        <v>0.13055408430009055</v>
      </c>
      <c r="AI43" s="103">
        <f t="shared" si="116"/>
        <v>9.1958074513507404E-2</v>
      </c>
      <c r="AJ43" s="103">
        <f t="shared" ref="AJ43:AK43" si="117">AJ42/AJ10</f>
        <v>0.12325749431647956</v>
      </c>
      <c r="AK43" s="103">
        <f t="shared" si="117"/>
        <v>0.14022982886793045</v>
      </c>
      <c r="AL43" s="103">
        <f t="shared" ref="AL43:AM43" si="118">AL42/AL10</f>
        <v>0.14342261824278646</v>
      </c>
      <c r="AM43" s="103">
        <f t="shared" si="118"/>
        <v>0.12018111562940956</v>
      </c>
      <c r="AN43" s="103">
        <f t="shared" ref="AN43" si="119">AN42/AN10</f>
        <v>0.14217491334827087</v>
      </c>
    </row>
    <row r="44" spans="2:46" ht="12" customHeight="1" x14ac:dyDescent="0.2">
      <c r="B44" s="11"/>
      <c r="C44" s="12" t="s">
        <v>254</v>
      </c>
      <c r="D44" s="9"/>
      <c r="E44" s="9"/>
      <c r="F44" s="9"/>
      <c r="G44" s="9"/>
      <c r="H44" s="105">
        <f t="shared" ref="H44:R44" si="120">H61/H78*1000</f>
        <v>0.48629092702931653</v>
      </c>
      <c r="I44" s="105">
        <f t="shared" si="120"/>
        <v>0.68601449996984343</v>
      </c>
      <c r="J44" s="105">
        <f t="shared" si="120"/>
        <v>0.57858864395856124</v>
      </c>
      <c r="K44" s="105">
        <f t="shared" si="120"/>
        <v>0.5507330578642875</v>
      </c>
      <c r="L44" s="105">
        <f t="shared" si="120"/>
        <v>0.51925168977184322</v>
      </c>
      <c r="M44" s="105">
        <f t="shared" si="120"/>
        <v>0.50184838239823248</v>
      </c>
      <c r="N44" s="105">
        <f t="shared" si="120"/>
        <v>0.49119321996232679</v>
      </c>
      <c r="O44" s="105">
        <f t="shared" si="120"/>
        <v>0.31318925552976346</v>
      </c>
      <c r="P44" s="105">
        <f t="shared" si="120"/>
        <v>0.57807041665457937</v>
      </c>
      <c r="Q44" s="105">
        <f t="shared" si="120"/>
        <v>0.49119492186761721</v>
      </c>
      <c r="R44" s="105">
        <f t="shared" si="120"/>
        <v>0.5710843290881007</v>
      </c>
      <c r="S44" s="105">
        <f t="shared" ref="S44:T44" si="121">S61/S78*1000</f>
        <v>0.42207023106638952</v>
      </c>
      <c r="T44" s="105">
        <f t="shared" si="121"/>
        <v>1.3835608479392549</v>
      </c>
      <c r="U44" s="105">
        <f t="shared" ref="U44:V44" si="122">U61/U78*1000</f>
        <v>0.31285570314067207</v>
      </c>
      <c r="V44" s="105">
        <f t="shared" si="122"/>
        <v>0.4685940100112444</v>
      </c>
      <c r="W44" s="105">
        <f t="shared" ref="W44:Y44" si="123">W61/W78*1000</f>
        <v>-3.3757594632516444E-2</v>
      </c>
      <c r="X44" s="105">
        <f t="shared" si="123"/>
        <v>-0.13709469026988627</v>
      </c>
      <c r="Y44" s="105">
        <f t="shared" si="123"/>
        <v>0.12810009860012442</v>
      </c>
      <c r="Z44" s="105">
        <f t="shared" ref="Z44:AA44" si="124">Z61/Z78*1000</f>
        <v>-0.11950420691730035</v>
      </c>
      <c r="AA44" s="105">
        <f t="shared" si="124"/>
        <v>0.35627109407905844</v>
      </c>
      <c r="AB44" s="105">
        <f t="shared" ref="AB44:AC44" si="125">AB61/AB78*1000</f>
        <v>0.29421208808199023</v>
      </c>
      <c r="AC44" s="105">
        <f t="shared" si="125"/>
        <v>0.133507427753564</v>
      </c>
      <c r="AD44" s="105">
        <f t="shared" ref="AD44:AE44" si="126">AD61/AD78*1000</f>
        <v>0.29111366918105658</v>
      </c>
      <c r="AE44" s="105">
        <f t="shared" si="126"/>
        <v>-0.43866726261885319</v>
      </c>
      <c r="AF44" s="105">
        <f t="shared" ref="AF44:AG44" si="127">AF61/AF78*1000</f>
        <v>0.41208971382417775</v>
      </c>
      <c r="AG44" s="105">
        <f t="shared" si="127"/>
        <v>0.90742361545344008</v>
      </c>
      <c r="AH44" s="105">
        <f t="shared" ref="AH44:AI44" si="128">AH61/AH78*1000</f>
        <v>0.59926864231724819</v>
      </c>
      <c r="AI44" s="105">
        <f t="shared" si="128"/>
        <v>0.59644563842973097</v>
      </c>
      <c r="AJ44" s="105">
        <f t="shared" ref="AJ44:AK44" si="129">AJ61/AJ78*1000</f>
        <v>0.41412089954812314</v>
      </c>
      <c r="AK44" s="105">
        <f t="shared" si="129"/>
        <v>0.61114591477082736</v>
      </c>
      <c r="AL44" s="105">
        <f t="shared" ref="AL44:AM44" si="130">AL61/AL78*1000</f>
        <v>0.80115600347658811</v>
      </c>
      <c r="AM44" s="105">
        <f t="shared" si="130"/>
        <v>0.89655248265995913</v>
      </c>
      <c r="AN44" s="105" t="e">
        <f t="shared" ref="AN44" si="131">AN61/AN78*1000</f>
        <v>#DIV/0!</v>
      </c>
    </row>
    <row r="45" spans="2:46" ht="12" customHeight="1" x14ac:dyDescent="0.2">
      <c r="H45" s="104" t="s">
        <v>255</v>
      </c>
    </row>
    <row r="46" spans="2:46" s="15" customFormat="1" ht="12" customHeight="1" x14ac:dyDescent="0.2">
      <c r="B46" s="201"/>
      <c r="C46" s="201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</row>
    <row r="47" spans="2:46" s="15" customFormat="1" ht="12" customHeight="1" x14ac:dyDescent="0.2">
      <c r="B47" s="116"/>
      <c r="C47" s="116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</row>
    <row r="48" spans="2:46" ht="12" customHeight="1" x14ac:dyDescent="0.2">
      <c r="B48" s="199" t="s">
        <v>38</v>
      </c>
      <c r="C48" s="200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</row>
    <row r="49" spans="2:47" ht="12" customHeight="1" x14ac:dyDescent="0.2">
      <c r="B49" s="173" t="s">
        <v>39</v>
      </c>
      <c r="C49" s="173"/>
      <c r="D49" s="44"/>
      <c r="E49" s="44"/>
      <c r="F49" s="44"/>
      <c r="G49" s="44"/>
      <c r="H49" s="44">
        <f t="shared" ref="H49:K49" si="132">SUM(H51:H54)+SUM(H56:H58)</f>
        <v>-108</v>
      </c>
      <c r="I49" s="44">
        <f t="shared" si="132"/>
        <v>-1587</v>
      </c>
      <c r="J49" s="44">
        <f t="shared" si="132"/>
        <v>1592</v>
      </c>
      <c r="K49" s="44">
        <f t="shared" si="132"/>
        <v>-1563</v>
      </c>
      <c r="L49" s="44">
        <f>SUM(L51:L54)+SUM(L56:L58)</f>
        <v>1393</v>
      </c>
      <c r="M49" s="44">
        <f t="shared" ref="M49:V49" si="133">SUM(M51:M54)+SUM(M56:M58)</f>
        <v>-375</v>
      </c>
      <c r="N49" s="44">
        <f t="shared" si="133"/>
        <v>-197</v>
      </c>
      <c r="O49" s="44">
        <f t="shared" si="133"/>
        <v>2668</v>
      </c>
      <c r="P49" s="44">
        <f t="shared" si="133"/>
        <v>-4822</v>
      </c>
      <c r="Q49" s="44">
        <f t="shared" si="133"/>
        <v>572</v>
      </c>
      <c r="R49" s="44">
        <f t="shared" si="133"/>
        <v>-1886</v>
      </c>
      <c r="S49" s="44">
        <f t="shared" si="133"/>
        <v>3492</v>
      </c>
      <c r="T49" s="44">
        <f t="shared" si="133"/>
        <v>2535</v>
      </c>
      <c r="U49" s="44">
        <f t="shared" si="133"/>
        <v>3164</v>
      </c>
      <c r="V49" s="44">
        <f t="shared" si="133"/>
        <v>-1194.1523099999995</v>
      </c>
      <c r="W49" s="44">
        <f t="shared" ref="W49:AH49" si="134">SUM(W51:W54)+SUM(W56:W58)</f>
        <v>1368.1523100000002</v>
      </c>
      <c r="X49" s="44">
        <f t="shared" si="134"/>
        <v>-1436</v>
      </c>
      <c r="Y49" s="44">
        <f t="shared" si="134"/>
        <v>-411</v>
      </c>
      <c r="Z49" s="44">
        <f t="shared" si="134"/>
        <v>-172</v>
      </c>
      <c r="AA49" s="44">
        <f t="shared" si="134"/>
        <v>6786</v>
      </c>
      <c r="AB49" s="44">
        <f t="shared" si="134"/>
        <v>2693</v>
      </c>
      <c r="AC49" s="44">
        <f t="shared" si="134"/>
        <v>-178</v>
      </c>
      <c r="AD49" s="44">
        <f t="shared" si="134"/>
        <v>2785</v>
      </c>
      <c r="AE49" s="44">
        <f t="shared" si="134"/>
        <v>587</v>
      </c>
      <c r="AF49" s="44">
        <f t="shared" si="134"/>
        <v>-1035</v>
      </c>
      <c r="AG49" s="44">
        <f t="shared" si="134"/>
        <v>42</v>
      </c>
      <c r="AH49" s="44">
        <f t="shared" si="134"/>
        <v>-674</v>
      </c>
      <c r="AI49" s="44">
        <f t="shared" ref="AI49:AM49" si="135">SUM(AI51:AI54)+SUM(AI56:AI58)</f>
        <v>-594</v>
      </c>
      <c r="AJ49" s="44">
        <f t="shared" si="135"/>
        <v>-837</v>
      </c>
      <c r="AK49" s="44">
        <f t="shared" si="135"/>
        <v>-2092</v>
      </c>
      <c r="AL49" s="44">
        <f t="shared" si="135"/>
        <v>839</v>
      </c>
      <c r="AM49" s="44">
        <f t="shared" si="135"/>
        <v>294</v>
      </c>
      <c r="AN49" s="44">
        <f t="shared" ref="AN49" si="136">SUM(AN51:AN54)+SUM(AN56:AN58)</f>
        <v>1527</v>
      </c>
      <c r="AO49" s="167"/>
    </row>
    <row r="50" spans="2:47" ht="12" customHeight="1" x14ac:dyDescent="0.2">
      <c r="B50" s="22"/>
      <c r="C50" s="23" t="s">
        <v>40</v>
      </c>
      <c r="D50" s="9"/>
      <c r="E50" s="9"/>
      <c r="F50" s="9"/>
      <c r="G50" s="9"/>
      <c r="H50" s="9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>
        <v>0</v>
      </c>
      <c r="AN50" s="14">
        <v>0</v>
      </c>
    </row>
    <row r="51" spans="2:47" ht="12" customHeight="1" x14ac:dyDescent="0.2">
      <c r="B51" s="18"/>
      <c r="C51" s="19" t="s">
        <v>17</v>
      </c>
      <c r="D51" s="9"/>
      <c r="E51" s="9"/>
      <c r="F51" s="9"/>
      <c r="G51" s="9"/>
      <c r="H51" s="9">
        <v>870</v>
      </c>
      <c r="I51" s="14">
        <v>2290</v>
      </c>
      <c r="J51" s="14">
        <v>-1435</v>
      </c>
      <c r="K51" s="9">
        <v>-121</v>
      </c>
      <c r="L51" s="14">
        <v>1344</v>
      </c>
      <c r="M51" s="14">
        <v>-1712</v>
      </c>
      <c r="N51" s="14">
        <v>2513</v>
      </c>
      <c r="O51" s="9">
        <v>-603</v>
      </c>
      <c r="P51" s="14">
        <v>2945</v>
      </c>
      <c r="Q51" s="14">
        <v>-2301</v>
      </c>
      <c r="R51" s="14">
        <v>-131</v>
      </c>
      <c r="S51" s="14">
        <v>4921</v>
      </c>
      <c r="T51" s="14">
        <v>2663</v>
      </c>
      <c r="U51" s="14">
        <v>-2291</v>
      </c>
      <c r="V51" s="14">
        <v>2148</v>
      </c>
      <c r="W51" s="14">
        <v>441.00000000000034</v>
      </c>
      <c r="X51" s="14">
        <v>-134</v>
      </c>
      <c r="Y51" s="14">
        <v>-259</v>
      </c>
      <c r="Z51" s="14">
        <v>2923</v>
      </c>
      <c r="AA51" s="14">
        <v>-128</v>
      </c>
      <c r="AB51" s="14">
        <v>1386</v>
      </c>
      <c r="AC51" s="14">
        <v>-3303</v>
      </c>
      <c r="AD51" s="14">
        <v>3701</v>
      </c>
      <c r="AE51" s="14">
        <v>1055</v>
      </c>
      <c r="AF51" s="14">
        <v>-979</v>
      </c>
      <c r="AG51" s="14">
        <v>493</v>
      </c>
      <c r="AH51" s="14">
        <v>-183</v>
      </c>
      <c r="AI51" s="14">
        <v>-49</v>
      </c>
      <c r="AJ51" s="14">
        <v>-962</v>
      </c>
      <c r="AK51" s="14">
        <v>913</v>
      </c>
      <c r="AL51" s="14">
        <v>154</v>
      </c>
      <c r="AM51" s="14">
        <v>-299</v>
      </c>
      <c r="AN51" s="14">
        <v>381</v>
      </c>
    </row>
    <row r="52" spans="2:47" ht="12" customHeight="1" x14ac:dyDescent="0.2">
      <c r="B52" s="18"/>
      <c r="C52" s="19" t="s">
        <v>29</v>
      </c>
      <c r="D52" s="9"/>
      <c r="E52" s="9"/>
      <c r="F52" s="9"/>
      <c r="G52" s="9"/>
      <c r="H52" s="9">
        <v>0</v>
      </c>
      <c r="I52" s="14">
        <v>0</v>
      </c>
      <c r="J52" s="14">
        <v>0</v>
      </c>
      <c r="K52" s="9">
        <v>0</v>
      </c>
      <c r="L52" s="14">
        <v>0</v>
      </c>
      <c r="M52" s="14">
        <v>0</v>
      </c>
      <c r="N52" s="14">
        <v>0</v>
      </c>
      <c r="O52" s="9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/>
      <c r="W52" s="14"/>
      <c r="X52" s="14">
        <v>0</v>
      </c>
      <c r="Y52" s="14">
        <v>0</v>
      </c>
      <c r="Z52" s="14">
        <v>0</v>
      </c>
      <c r="AA52" s="14">
        <v>0</v>
      </c>
      <c r="AB52" s="14"/>
      <c r="AC52" s="14">
        <v>0</v>
      </c>
      <c r="AD52" s="14"/>
      <c r="AE52" s="14">
        <v>0</v>
      </c>
      <c r="AF52" s="14"/>
      <c r="AG52" s="14">
        <v>0</v>
      </c>
      <c r="AH52" s="14">
        <v>0</v>
      </c>
      <c r="AI52" s="14">
        <v>0</v>
      </c>
      <c r="AJ52" s="14"/>
      <c r="AK52" s="14">
        <v>0</v>
      </c>
      <c r="AL52" s="14">
        <v>0</v>
      </c>
      <c r="AM52" s="14">
        <v>0</v>
      </c>
      <c r="AN52" s="14"/>
    </row>
    <row r="53" spans="2:47" ht="12" customHeight="1" x14ac:dyDescent="0.2">
      <c r="B53" s="18"/>
      <c r="C53" s="19" t="s">
        <v>18</v>
      </c>
      <c r="D53" s="9"/>
      <c r="E53" s="9"/>
      <c r="F53" s="9"/>
      <c r="G53" s="9"/>
      <c r="H53" s="9">
        <v>-978</v>
      </c>
      <c r="I53" s="14">
        <v>-3877</v>
      </c>
      <c r="J53" s="14">
        <v>3027</v>
      </c>
      <c r="K53" s="9">
        <v>-975</v>
      </c>
      <c r="L53" s="14">
        <v>49</v>
      </c>
      <c r="M53" s="14">
        <v>1337</v>
      </c>
      <c r="N53" s="14">
        <v>-2710</v>
      </c>
      <c r="O53" s="9">
        <v>3347</v>
      </c>
      <c r="P53" s="14">
        <v>-7767</v>
      </c>
      <c r="Q53" s="14">
        <v>2873</v>
      </c>
      <c r="R53" s="14">
        <v>-1755</v>
      </c>
      <c r="S53" s="14">
        <v>-1446</v>
      </c>
      <c r="T53" s="14">
        <v>-128</v>
      </c>
      <c r="U53" s="14">
        <v>5455</v>
      </c>
      <c r="V53" s="14">
        <v>-3342.1523099999995</v>
      </c>
      <c r="W53" s="14">
        <v>760.15230999999983</v>
      </c>
      <c r="X53" s="14">
        <v>-1302</v>
      </c>
      <c r="Y53" s="14">
        <v>-152</v>
      </c>
      <c r="Z53" s="14">
        <v>-3095</v>
      </c>
      <c r="AA53" s="14">
        <v>5681</v>
      </c>
      <c r="AB53" s="14">
        <v>1307</v>
      </c>
      <c r="AC53" s="14">
        <v>3125</v>
      </c>
      <c r="AD53" s="14">
        <v>-916</v>
      </c>
      <c r="AE53" s="14">
        <v>-215</v>
      </c>
      <c r="AF53" s="14">
        <v>-56</v>
      </c>
      <c r="AG53" s="14">
        <v>-451</v>
      </c>
      <c r="AH53" s="14">
        <v>-491</v>
      </c>
      <c r="AI53" s="14">
        <v>-258</v>
      </c>
      <c r="AJ53" s="14">
        <v>125</v>
      </c>
      <c r="AK53" s="14">
        <v>-3005</v>
      </c>
      <c r="AL53" s="14">
        <v>685</v>
      </c>
      <c r="AM53" s="14">
        <v>882</v>
      </c>
      <c r="AN53" s="14">
        <v>1146</v>
      </c>
    </row>
    <row r="54" spans="2:47" ht="12" customHeight="1" x14ac:dyDescent="0.2">
      <c r="B54" s="18"/>
      <c r="C54" s="19" t="s">
        <v>30</v>
      </c>
      <c r="D54" s="9"/>
      <c r="E54" s="9"/>
      <c r="F54" s="9"/>
      <c r="G54" s="9"/>
      <c r="H54" s="9">
        <v>0</v>
      </c>
      <c r="I54" s="7">
        <v>0</v>
      </c>
      <c r="J54" s="7">
        <v>0</v>
      </c>
      <c r="K54" s="9">
        <v>0</v>
      </c>
      <c r="L54" s="7"/>
      <c r="M54" s="7">
        <v>0</v>
      </c>
      <c r="N54" s="7">
        <v>0</v>
      </c>
      <c r="O54" s="9">
        <v>0</v>
      </c>
      <c r="P54" s="7"/>
      <c r="Q54" s="7">
        <v>0</v>
      </c>
      <c r="R54" s="7">
        <v>0</v>
      </c>
      <c r="S54" s="7">
        <v>0</v>
      </c>
      <c r="T54" s="7"/>
      <c r="U54" s="7"/>
      <c r="V54" s="7"/>
      <c r="W54" s="7"/>
      <c r="X54" s="7">
        <v>0</v>
      </c>
      <c r="Y54" s="7"/>
      <c r="Z54" s="7"/>
      <c r="AA54" s="7"/>
      <c r="AB54" s="7"/>
      <c r="AC54" s="7"/>
      <c r="AD54" s="7"/>
      <c r="AE54" s="7">
        <v>0</v>
      </c>
      <c r="AF54" s="7"/>
      <c r="AG54" s="7">
        <v>0</v>
      </c>
      <c r="AH54" s="7"/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</row>
    <row r="55" spans="2:47" ht="12" customHeight="1" x14ac:dyDescent="0.2">
      <c r="B55" s="18"/>
      <c r="C55" s="23" t="s">
        <v>41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>
        <v>0</v>
      </c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>
        <v>0</v>
      </c>
      <c r="AH55" s="7"/>
      <c r="AI55" s="7">
        <v>0</v>
      </c>
      <c r="AJ55" s="7"/>
      <c r="AK55" s="7">
        <v>0</v>
      </c>
      <c r="AL55" s="7">
        <v>0</v>
      </c>
      <c r="AM55" s="7">
        <v>0</v>
      </c>
      <c r="AN55" s="7"/>
    </row>
    <row r="56" spans="2:47" ht="12" customHeight="1" x14ac:dyDescent="0.2">
      <c r="B56" s="18"/>
      <c r="C56" s="19" t="s">
        <v>42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-467</v>
      </c>
      <c r="L56" s="14">
        <v>0</v>
      </c>
      <c r="M56" s="14">
        <v>0</v>
      </c>
      <c r="N56" s="14">
        <v>0</v>
      </c>
      <c r="O56" s="9">
        <v>-76</v>
      </c>
      <c r="P56" s="14">
        <v>0</v>
      </c>
      <c r="Q56" s="14">
        <v>0</v>
      </c>
      <c r="R56" s="14">
        <v>0</v>
      </c>
      <c r="S56" s="14">
        <v>17</v>
      </c>
      <c r="T56" s="14"/>
      <c r="U56" s="14"/>
      <c r="V56" s="14"/>
      <c r="W56" s="14">
        <v>167</v>
      </c>
      <c r="X56" s="14">
        <v>0</v>
      </c>
      <c r="Y56" s="14"/>
      <c r="Z56" s="14"/>
      <c r="AA56" s="14">
        <v>1233</v>
      </c>
      <c r="AB56" s="14"/>
      <c r="AC56" s="14"/>
      <c r="AD56" s="14"/>
      <c r="AE56" s="14">
        <v>-253</v>
      </c>
      <c r="AF56" s="14"/>
      <c r="AG56" s="14">
        <v>0</v>
      </c>
      <c r="AH56" s="14"/>
      <c r="AI56" s="14">
        <v>-287</v>
      </c>
      <c r="AJ56" s="14"/>
      <c r="AK56" s="14">
        <v>0</v>
      </c>
      <c r="AL56" s="14">
        <v>0</v>
      </c>
      <c r="AM56" s="14">
        <v>-289</v>
      </c>
      <c r="AN56" s="14">
        <v>0</v>
      </c>
    </row>
    <row r="57" spans="2:47" ht="12" customHeight="1" x14ac:dyDescent="0.2">
      <c r="B57" s="18"/>
      <c r="C57" s="19" t="s">
        <v>31</v>
      </c>
      <c r="D57" s="9"/>
      <c r="E57" s="9"/>
      <c r="F57" s="9"/>
      <c r="G57" s="9"/>
      <c r="H57" s="9">
        <v>0</v>
      </c>
      <c r="I57" s="14">
        <v>0</v>
      </c>
      <c r="J57" s="14">
        <v>0</v>
      </c>
      <c r="K57" s="9">
        <v>0</v>
      </c>
      <c r="L57" s="14">
        <v>0</v>
      </c>
      <c r="M57" s="14">
        <v>0</v>
      </c>
      <c r="N57" s="14">
        <v>0</v>
      </c>
      <c r="O57" s="9">
        <v>0</v>
      </c>
      <c r="P57" s="14">
        <v>0</v>
      </c>
      <c r="Q57" s="14">
        <v>0</v>
      </c>
      <c r="R57" s="14">
        <v>0</v>
      </c>
      <c r="S57" s="14">
        <v>0</v>
      </c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>
        <v>0</v>
      </c>
      <c r="AH57" s="14"/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</row>
    <row r="58" spans="2:47" ht="12" customHeight="1" x14ac:dyDescent="0.2">
      <c r="B58" s="18"/>
      <c r="C58" s="19" t="s">
        <v>32</v>
      </c>
      <c r="D58" s="9"/>
      <c r="E58" s="9"/>
      <c r="F58" s="9"/>
      <c r="G58" s="9"/>
      <c r="H58" s="9">
        <v>0</v>
      </c>
      <c r="I58" s="7">
        <v>0</v>
      </c>
      <c r="J58" s="7">
        <v>0</v>
      </c>
      <c r="K58" s="9">
        <v>0</v>
      </c>
      <c r="L58" s="7">
        <v>0</v>
      </c>
      <c r="M58" s="7">
        <v>0</v>
      </c>
      <c r="N58" s="7">
        <v>0</v>
      </c>
      <c r="O58" s="9">
        <v>0</v>
      </c>
      <c r="P58" s="7">
        <v>0</v>
      </c>
      <c r="Q58" s="7">
        <v>0</v>
      </c>
      <c r="R58" s="7">
        <v>0</v>
      </c>
      <c r="S58" s="7">
        <v>0</v>
      </c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>
        <v>0</v>
      </c>
      <c r="AH58" s="7"/>
      <c r="AI58" s="7">
        <v>0</v>
      </c>
      <c r="AJ58" s="7"/>
      <c r="AK58" s="7">
        <v>0</v>
      </c>
      <c r="AL58" s="7">
        <v>0</v>
      </c>
      <c r="AM58" s="7"/>
      <c r="AN58" s="7"/>
    </row>
    <row r="59" spans="2:47" ht="12" customHeight="1" x14ac:dyDescent="0.2">
      <c r="B59" s="173" t="s">
        <v>19</v>
      </c>
      <c r="C59" s="173"/>
      <c r="D59" s="44"/>
      <c r="E59" s="44"/>
      <c r="F59" s="44"/>
      <c r="G59" s="44"/>
      <c r="H59" s="44">
        <f t="shared" ref="H59:R59" si="137">H38+H49</f>
        <v>15036</v>
      </c>
      <c r="I59" s="44">
        <f t="shared" si="137"/>
        <v>19956</v>
      </c>
      <c r="J59" s="44">
        <f t="shared" si="137"/>
        <v>19223.430077983998</v>
      </c>
      <c r="K59" s="44">
        <f t="shared" si="137"/>
        <v>14523.569922016002</v>
      </c>
      <c r="L59" s="44">
        <f t="shared" si="137"/>
        <v>16820</v>
      </c>
      <c r="M59" s="44">
        <f t="shared" si="137"/>
        <v>15024</v>
      </c>
      <c r="N59" s="44">
        <f t="shared" si="137"/>
        <v>10512.66512999999</v>
      </c>
      <c r="O59" s="44">
        <f t="shared" si="137"/>
        <v>16419.33487000001</v>
      </c>
      <c r="P59" s="44">
        <f t="shared" si="137"/>
        <v>12515</v>
      </c>
      <c r="Q59" s="44">
        <f t="shared" si="137"/>
        <v>15654</v>
      </c>
      <c r="R59" s="44">
        <f t="shared" si="137"/>
        <v>15023.234245192398</v>
      </c>
      <c r="S59" s="44">
        <f t="shared" ref="S59:T59" si="138">S38+S49</f>
        <v>16400.765754807602</v>
      </c>
      <c r="T59" s="44">
        <f t="shared" si="138"/>
        <v>43889</v>
      </c>
      <c r="U59" s="44">
        <f t="shared" ref="U59:V59" si="139">U38+U49</f>
        <v>13022</v>
      </c>
      <c r="V59" s="44">
        <f t="shared" si="139"/>
        <v>11825.13070499999</v>
      </c>
      <c r="W59" s="44">
        <f t="shared" ref="W59:X59" si="140">W38+W49</f>
        <v>472.86929500000838</v>
      </c>
      <c r="X59" s="44">
        <f t="shared" si="140"/>
        <v>-5281</v>
      </c>
      <c r="Y59" s="44">
        <f t="shared" ref="Y59:AA59" si="141">Y38+Y49</f>
        <v>3488.3140900000008</v>
      </c>
      <c r="Z59" s="44">
        <f t="shared" si="141"/>
        <v>-3532.9772272657992</v>
      </c>
      <c r="AA59" s="44">
        <f t="shared" si="141"/>
        <v>17297.663137265798</v>
      </c>
      <c r="AB59" s="44">
        <f t="shared" ref="AB59:AC59" si="142">AB38+AB49</f>
        <v>11493</v>
      </c>
      <c r="AC59" s="44">
        <f t="shared" si="142"/>
        <v>3926</v>
      </c>
      <c r="AD59" s="44">
        <f t="shared" ref="AD59:AE59" si="143">AD38+AD49</f>
        <v>11180</v>
      </c>
      <c r="AE59" s="44">
        <f t="shared" si="143"/>
        <v>-12208</v>
      </c>
      <c r="AF59" s="44">
        <f t="shared" ref="AF59:AG59" si="144">AF38+AF49</f>
        <v>10984</v>
      </c>
      <c r="AG59" s="44">
        <f t="shared" si="144"/>
        <v>26543</v>
      </c>
      <c r="AH59" s="44">
        <f t="shared" ref="AH59:AI59" si="145">AH38+AH49</f>
        <v>16863</v>
      </c>
      <c r="AI59" s="44">
        <f t="shared" si="145"/>
        <v>16563</v>
      </c>
      <c r="AJ59" s="44">
        <f t="shared" ref="AJ59:AK59" si="146">AJ38+AJ49</f>
        <v>11348</v>
      </c>
      <c r="AK59" s="44">
        <f t="shared" si="146"/>
        <v>15956</v>
      </c>
      <c r="AL59" s="44">
        <f t="shared" ref="AL59:AM59" si="147">AL38+AL49</f>
        <v>23949</v>
      </c>
      <c r="AM59" s="44">
        <f t="shared" si="147"/>
        <v>26122</v>
      </c>
      <c r="AN59" s="44">
        <f t="shared" ref="AN59" si="148">AN38+AN49</f>
        <v>21613</v>
      </c>
    </row>
    <row r="60" spans="2:47" ht="12" customHeight="1" x14ac:dyDescent="0.2">
      <c r="B60" s="173" t="s">
        <v>20</v>
      </c>
      <c r="C60" s="173"/>
      <c r="D60" s="44"/>
      <c r="E60" s="44"/>
      <c r="F60" s="44"/>
      <c r="G60" s="44"/>
      <c r="H60" s="44">
        <f t="shared" ref="H60" si="149">SUM(H61:H62)</f>
        <v>15144</v>
      </c>
      <c r="I60" s="44">
        <f t="shared" ref="I60:O60" si="150">SUM(I61:I62)</f>
        <v>21543</v>
      </c>
      <c r="J60" s="44">
        <f t="shared" si="150"/>
        <v>17632</v>
      </c>
      <c r="K60" s="44">
        <f t="shared" si="150"/>
        <v>16086</v>
      </c>
      <c r="L60" s="44">
        <f t="shared" si="150"/>
        <v>15427</v>
      </c>
      <c r="M60" s="44">
        <f t="shared" si="150"/>
        <v>15399</v>
      </c>
      <c r="N60" s="44">
        <f t="shared" si="150"/>
        <v>14534</v>
      </c>
      <c r="O60" s="44">
        <f t="shared" si="150"/>
        <v>9927</v>
      </c>
      <c r="P60" s="44">
        <f>SUM(P61:P62)</f>
        <v>17337</v>
      </c>
      <c r="Q60" s="44">
        <f t="shared" ref="Q60:R60" si="151">SUM(Q61:Q62)</f>
        <v>15082</v>
      </c>
      <c r="R60" s="44">
        <f t="shared" si="151"/>
        <v>16909</v>
      </c>
      <c r="S60" s="44">
        <f t="shared" ref="S60:T60" si="152">SUM(S61:S62)</f>
        <v>12909</v>
      </c>
      <c r="T60" s="44">
        <f t="shared" si="152"/>
        <v>41354</v>
      </c>
      <c r="U60" s="44">
        <f t="shared" ref="U60:V60" si="153">SUM(U61:U62)</f>
        <v>9858</v>
      </c>
      <c r="V60" s="44">
        <f t="shared" si="153"/>
        <v>13019</v>
      </c>
      <c r="W60" s="44">
        <f t="shared" ref="W60:X60" si="154">SUM(W61:W62)</f>
        <v>-895.00000000000023</v>
      </c>
      <c r="X60" s="44">
        <f t="shared" si="154"/>
        <v>-3845</v>
      </c>
      <c r="Y60" s="44">
        <f t="shared" ref="Y60:AA60" si="155">SUM(Y61:Y62)</f>
        <v>3899</v>
      </c>
      <c r="Z60" s="44">
        <f t="shared" si="155"/>
        <v>-3361</v>
      </c>
      <c r="AA60" s="44">
        <f t="shared" si="155"/>
        <v>10512</v>
      </c>
      <c r="AB60" s="44">
        <f t="shared" ref="AB60:AC60" si="156">SUM(AB61:AB62)</f>
        <v>8800</v>
      </c>
      <c r="AC60" s="44">
        <f t="shared" si="156"/>
        <v>4104</v>
      </c>
      <c r="AD60" s="44">
        <f t="shared" ref="AD60:AE60" si="157">SUM(AD61:AD62)</f>
        <v>8395</v>
      </c>
      <c r="AE60" s="44">
        <f t="shared" si="157"/>
        <v>-12795</v>
      </c>
      <c r="AF60" s="44">
        <f t="shared" ref="AF60:AG60" si="158">SUM(AF61:AF62)</f>
        <v>12019</v>
      </c>
      <c r="AG60" s="44">
        <f t="shared" si="158"/>
        <v>26501</v>
      </c>
      <c r="AH60" s="44">
        <f t="shared" ref="AH60:AI60" si="159">SUM(AH61:AH62)</f>
        <v>17537</v>
      </c>
      <c r="AI60" s="44">
        <f t="shared" si="159"/>
        <v>17157</v>
      </c>
      <c r="AJ60" s="44">
        <f t="shared" ref="AJ60:AK60" si="160">SUM(AJ61:AJ62)</f>
        <v>12185</v>
      </c>
      <c r="AK60" s="44">
        <f t="shared" si="160"/>
        <v>18048</v>
      </c>
      <c r="AL60" s="44">
        <f t="shared" ref="AL60:AM60" si="161">SUM(AL61:AL62)</f>
        <v>23110</v>
      </c>
      <c r="AM60" s="44">
        <f t="shared" si="161"/>
        <v>25828</v>
      </c>
      <c r="AN60" s="44">
        <f t="shared" ref="AN60" si="162">SUM(AN61:AN62)</f>
        <v>20086</v>
      </c>
      <c r="AU60" s="15"/>
    </row>
    <row r="61" spans="2:47" ht="12" customHeight="1" x14ac:dyDescent="0.2">
      <c r="B61" s="18"/>
      <c r="C61" s="19" t="s">
        <v>43</v>
      </c>
      <c r="D61" s="9"/>
      <c r="E61" s="9"/>
      <c r="F61" s="9"/>
      <c r="G61" s="9"/>
      <c r="H61" s="9">
        <v>14349</v>
      </c>
      <c r="I61" s="14">
        <v>20241</v>
      </c>
      <c r="J61" s="14">
        <v>17031</v>
      </c>
      <c r="K61" s="9">
        <v>16167</v>
      </c>
      <c r="L61" s="14">
        <v>15210</v>
      </c>
      <c r="M61" s="14">
        <v>14685</v>
      </c>
      <c r="N61" s="14">
        <v>14364</v>
      </c>
      <c r="O61" s="9">
        <v>9151</v>
      </c>
      <c r="P61" s="14">
        <v>16886</v>
      </c>
      <c r="Q61" s="14">
        <v>14346</v>
      </c>
      <c r="R61" s="14">
        <v>16679</v>
      </c>
      <c r="S61" s="14">
        <v>12323</v>
      </c>
      <c r="T61" s="14">
        <v>40382</v>
      </c>
      <c r="U61" s="14">
        <v>9130</v>
      </c>
      <c r="V61" s="14">
        <v>13674</v>
      </c>
      <c r="W61" s="14">
        <v>-985.00000000000023</v>
      </c>
      <c r="X61" s="14">
        <v>-3993</v>
      </c>
      <c r="Y61" s="14">
        <v>3727</v>
      </c>
      <c r="Z61" s="14">
        <v>-3475</v>
      </c>
      <c r="AA61" s="14">
        <v>10357</v>
      </c>
      <c r="AB61" s="14">
        <v>8546</v>
      </c>
      <c r="AC61" s="14">
        <v>3878</v>
      </c>
      <c r="AD61" s="14">
        <v>8456</v>
      </c>
      <c r="AE61" s="14">
        <v>-12742</v>
      </c>
      <c r="AF61" s="14">
        <v>11970</v>
      </c>
      <c r="AG61" s="14">
        <v>26358</v>
      </c>
      <c r="AH61" s="14">
        <v>17407</v>
      </c>
      <c r="AI61" s="14">
        <v>17325</v>
      </c>
      <c r="AJ61" s="14">
        <v>12029</v>
      </c>
      <c r="AK61" s="14">
        <v>17752</v>
      </c>
      <c r="AL61" s="14">
        <v>23270</v>
      </c>
      <c r="AM61" s="14">
        <v>26034</v>
      </c>
      <c r="AN61" s="14">
        <v>19964</v>
      </c>
    </row>
    <row r="62" spans="2:47" ht="12" customHeight="1" x14ac:dyDescent="0.2">
      <c r="B62" s="18"/>
      <c r="C62" s="19" t="s">
        <v>44</v>
      </c>
      <c r="D62" s="9"/>
      <c r="E62" s="9"/>
      <c r="F62" s="9"/>
      <c r="G62" s="9"/>
      <c r="H62" s="9">
        <v>795</v>
      </c>
      <c r="I62" s="14">
        <v>1302</v>
      </c>
      <c r="J62" s="14">
        <v>601</v>
      </c>
      <c r="K62" s="9">
        <v>-81</v>
      </c>
      <c r="L62" s="14">
        <v>217</v>
      </c>
      <c r="M62" s="14">
        <v>714</v>
      </c>
      <c r="N62" s="14">
        <v>170</v>
      </c>
      <c r="O62" s="9">
        <v>776</v>
      </c>
      <c r="P62" s="14">
        <v>451</v>
      </c>
      <c r="Q62" s="14">
        <v>736</v>
      </c>
      <c r="R62" s="14">
        <v>230</v>
      </c>
      <c r="S62" s="14">
        <v>586</v>
      </c>
      <c r="T62" s="14">
        <v>972</v>
      </c>
      <c r="U62" s="14">
        <v>728</v>
      </c>
      <c r="V62" s="14">
        <v>-655</v>
      </c>
      <c r="W62" s="14">
        <v>90.000000000000028</v>
      </c>
      <c r="X62" s="14">
        <v>148</v>
      </c>
      <c r="Y62" s="14">
        <v>172</v>
      </c>
      <c r="Z62" s="14">
        <v>114</v>
      </c>
      <c r="AA62" s="14">
        <v>155</v>
      </c>
      <c r="AB62" s="14">
        <v>254</v>
      </c>
      <c r="AC62" s="14">
        <v>226</v>
      </c>
      <c r="AD62" s="14">
        <v>-61</v>
      </c>
      <c r="AE62" s="14">
        <v>-53</v>
      </c>
      <c r="AF62" s="14">
        <v>49</v>
      </c>
      <c r="AG62" s="14">
        <v>143</v>
      </c>
      <c r="AH62" s="14">
        <v>130</v>
      </c>
      <c r="AI62" s="14">
        <v>-168</v>
      </c>
      <c r="AJ62" s="14">
        <v>156</v>
      </c>
      <c r="AK62" s="14">
        <v>296</v>
      </c>
      <c r="AL62" s="14">
        <v>-160</v>
      </c>
      <c r="AM62" s="14">
        <v>-206</v>
      </c>
      <c r="AN62" s="14">
        <v>122</v>
      </c>
      <c r="AP62" s="15"/>
    </row>
    <row r="63" spans="2:47" ht="12" customHeight="1" x14ac:dyDescent="0.2">
      <c r="B63" s="173" t="s">
        <v>21</v>
      </c>
      <c r="C63" s="173"/>
      <c r="D63" s="44"/>
      <c r="E63" s="44"/>
      <c r="F63" s="44"/>
      <c r="G63" s="44"/>
      <c r="H63" s="44">
        <f t="shared" ref="H63:O63" si="163">SUM(H64:H65)</f>
        <v>15036</v>
      </c>
      <c r="I63" s="44">
        <f t="shared" si="163"/>
        <v>19956</v>
      </c>
      <c r="J63" s="44">
        <f t="shared" si="163"/>
        <v>19224</v>
      </c>
      <c r="K63" s="44">
        <f t="shared" si="163"/>
        <v>14523</v>
      </c>
      <c r="L63" s="44">
        <f t="shared" si="163"/>
        <v>16820</v>
      </c>
      <c r="M63" s="44">
        <f t="shared" si="163"/>
        <v>15024</v>
      </c>
      <c r="N63" s="44">
        <f t="shared" si="163"/>
        <v>14337</v>
      </c>
      <c r="O63" s="44">
        <f t="shared" si="163"/>
        <v>12595</v>
      </c>
      <c r="P63" s="44">
        <f>SUM(P64:P65)</f>
        <v>12515</v>
      </c>
      <c r="Q63" s="44">
        <f t="shared" ref="Q63:V63" si="164">SUM(Q64:Q65)</f>
        <v>15654</v>
      </c>
      <c r="R63" s="44">
        <f t="shared" si="164"/>
        <v>15023</v>
      </c>
      <c r="S63" s="44">
        <f t="shared" si="164"/>
        <v>16401</v>
      </c>
      <c r="T63" s="44">
        <f t="shared" si="164"/>
        <v>43889</v>
      </c>
      <c r="U63" s="44">
        <f t="shared" si="164"/>
        <v>13022</v>
      </c>
      <c r="V63" s="44">
        <f t="shared" si="164"/>
        <v>11825</v>
      </c>
      <c r="W63" s="44">
        <f t="shared" ref="W63:AH63" si="165">SUM(W64:W65)</f>
        <v>473.00000000000091</v>
      </c>
      <c r="X63" s="44">
        <f t="shared" si="165"/>
        <v>-5281</v>
      </c>
      <c r="Y63" s="44">
        <f t="shared" si="165"/>
        <v>3488</v>
      </c>
      <c r="Z63" s="44">
        <f t="shared" si="165"/>
        <v>-3533</v>
      </c>
      <c r="AA63" s="44">
        <f t="shared" si="165"/>
        <v>17298</v>
      </c>
      <c r="AB63" s="44">
        <f t="shared" si="165"/>
        <v>11493</v>
      </c>
      <c r="AC63" s="44">
        <f t="shared" si="165"/>
        <v>3926</v>
      </c>
      <c r="AD63" s="44">
        <f t="shared" si="165"/>
        <v>11180</v>
      </c>
      <c r="AE63" s="44">
        <f t="shared" si="165"/>
        <v>-12208</v>
      </c>
      <c r="AF63" s="44">
        <f t="shared" si="165"/>
        <v>10984</v>
      </c>
      <c r="AG63" s="44">
        <f t="shared" si="165"/>
        <v>26542</v>
      </c>
      <c r="AH63" s="44">
        <f t="shared" si="165"/>
        <v>16864</v>
      </c>
      <c r="AI63" s="44">
        <f t="shared" ref="AI63:AM63" si="166">SUM(AI64:AI65)</f>
        <v>16563</v>
      </c>
      <c r="AJ63" s="44">
        <f t="shared" si="166"/>
        <v>11348</v>
      </c>
      <c r="AK63" s="44">
        <f t="shared" si="166"/>
        <v>15956</v>
      </c>
      <c r="AL63" s="44">
        <f t="shared" si="166"/>
        <v>23949</v>
      </c>
      <c r="AM63" s="44">
        <f t="shared" si="166"/>
        <v>26122</v>
      </c>
      <c r="AN63" s="44">
        <f t="shared" ref="AN63" si="167">SUM(AN64:AN65)</f>
        <v>21613</v>
      </c>
    </row>
    <row r="64" spans="2:47" ht="12" customHeight="1" x14ac:dyDescent="0.2">
      <c r="B64" s="18"/>
      <c r="C64" s="19" t="s">
        <v>43</v>
      </c>
      <c r="D64" s="9"/>
      <c r="E64" s="9"/>
      <c r="F64" s="9"/>
      <c r="G64" s="9"/>
      <c r="H64" s="9">
        <v>14214</v>
      </c>
      <c r="I64" s="14">
        <v>18639</v>
      </c>
      <c r="J64" s="14">
        <v>18642</v>
      </c>
      <c r="K64" s="9">
        <v>14595</v>
      </c>
      <c r="L64" s="14">
        <v>16609</v>
      </c>
      <c r="M64" s="14">
        <v>14306</v>
      </c>
      <c r="N64" s="14">
        <v>14135</v>
      </c>
      <c r="O64" s="9">
        <v>11882</v>
      </c>
      <c r="P64" s="14">
        <v>12064</v>
      </c>
      <c r="Q64" s="14">
        <v>14918</v>
      </c>
      <c r="R64" s="14">
        <v>14793</v>
      </c>
      <c r="S64" s="14">
        <v>15815</v>
      </c>
      <c r="T64" s="14">
        <v>42917</v>
      </c>
      <c r="U64" s="14">
        <v>12294</v>
      </c>
      <c r="V64" s="14">
        <v>12480</v>
      </c>
      <c r="W64" s="14">
        <v>383.00000000000091</v>
      </c>
      <c r="X64" s="14">
        <v>-5429</v>
      </c>
      <c r="Y64" s="14">
        <v>3316</v>
      </c>
      <c r="Z64" s="14">
        <v>-3647</v>
      </c>
      <c r="AA64" s="14">
        <v>17143</v>
      </c>
      <c r="AB64" s="14">
        <v>11239</v>
      </c>
      <c r="AC64" s="14">
        <v>3700</v>
      </c>
      <c r="AD64" s="14">
        <v>11241</v>
      </c>
      <c r="AE64" s="14">
        <v>-12155</v>
      </c>
      <c r="AF64" s="14">
        <v>10935</v>
      </c>
      <c r="AG64" s="14">
        <v>26399</v>
      </c>
      <c r="AH64" s="14">
        <v>16734</v>
      </c>
      <c r="AI64" s="14">
        <v>16731</v>
      </c>
      <c r="AJ64" s="14">
        <v>11192</v>
      </c>
      <c r="AK64" s="14">
        <v>15660</v>
      </c>
      <c r="AL64" s="14">
        <v>24109</v>
      </c>
      <c r="AM64" s="14">
        <v>26328</v>
      </c>
      <c r="AN64" s="14">
        <v>21491</v>
      </c>
    </row>
    <row r="65" spans="2:47" ht="12" customHeight="1" x14ac:dyDescent="0.2">
      <c r="B65" s="18"/>
      <c r="C65" s="19" t="s">
        <v>44</v>
      </c>
      <c r="D65" s="9"/>
      <c r="E65" s="9"/>
      <c r="F65" s="9"/>
      <c r="G65" s="9"/>
      <c r="H65" s="9">
        <v>822</v>
      </c>
      <c r="I65" s="14">
        <v>1317</v>
      </c>
      <c r="J65" s="14">
        <v>582</v>
      </c>
      <c r="K65" s="9">
        <v>-72</v>
      </c>
      <c r="L65" s="14">
        <v>211</v>
      </c>
      <c r="M65" s="14">
        <v>718</v>
      </c>
      <c r="N65" s="14">
        <v>202</v>
      </c>
      <c r="O65" s="9">
        <v>713</v>
      </c>
      <c r="P65" s="14">
        <v>451</v>
      </c>
      <c r="Q65" s="14">
        <v>736</v>
      </c>
      <c r="R65" s="14">
        <v>230</v>
      </c>
      <c r="S65" s="14">
        <v>586</v>
      </c>
      <c r="T65" s="14">
        <v>972</v>
      </c>
      <c r="U65" s="14">
        <v>728</v>
      </c>
      <c r="V65" s="14">
        <v>-655</v>
      </c>
      <c r="W65" s="14">
        <v>90.000000000000028</v>
      </c>
      <c r="X65" s="14">
        <v>148</v>
      </c>
      <c r="Y65" s="14">
        <v>172</v>
      </c>
      <c r="Z65" s="14">
        <v>114</v>
      </c>
      <c r="AA65" s="14">
        <v>155</v>
      </c>
      <c r="AB65" s="14">
        <v>254</v>
      </c>
      <c r="AC65" s="14">
        <v>226</v>
      </c>
      <c r="AD65" s="14">
        <v>-61</v>
      </c>
      <c r="AE65" s="14">
        <v>-53</v>
      </c>
      <c r="AF65" s="14">
        <v>49</v>
      </c>
      <c r="AG65" s="14">
        <v>143</v>
      </c>
      <c r="AH65" s="14">
        <v>130</v>
      </c>
      <c r="AI65" s="14">
        <v>-168</v>
      </c>
      <c r="AJ65" s="14">
        <v>156</v>
      </c>
      <c r="AK65" s="14">
        <v>296</v>
      </c>
      <c r="AL65" s="14">
        <v>-160</v>
      </c>
      <c r="AM65" s="14">
        <v>-206</v>
      </c>
      <c r="AN65" s="14">
        <v>122</v>
      </c>
    </row>
    <row r="66" spans="2:47" ht="12" customHeight="1" x14ac:dyDescent="0.2">
      <c r="B66" s="1"/>
      <c r="C66" s="2"/>
      <c r="AP66" s="15"/>
      <c r="AQ66" s="15"/>
      <c r="AR66" s="15"/>
      <c r="AS66" s="15"/>
      <c r="AT66" s="15"/>
    </row>
    <row r="67" spans="2:47" ht="12" customHeight="1" x14ac:dyDescent="0.2">
      <c r="B67" s="1"/>
      <c r="C67" s="2"/>
      <c r="AP67" s="15"/>
      <c r="AQ67" s="15"/>
      <c r="AR67" s="15"/>
      <c r="AS67" s="15"/>
      <c r="AT67" s="15"/>
      <c r="AU67" s="15"/>
    </row>
    <row r="68" spans="2:47" ht="12" customHeight="1" x14ac:dyDescent="0.2">
      <c r="C68" s="3"/>
      <c r="AD68" s="106"/>
      <c r="AE68" s="106"/>
      <c r="AU68" s="15"/>
    </row>
    <row r="69" spans="2:47" ht="12" customHeight="1" x14ac:dyDescent="0.2">
      <c r="C69" s="3"/>
    </row>
    <row r="70" spans="2:47" ht="12" customHeight="1" x14ac:dyDescent="0.2">
      <c r="C70" s="3"/>
    </row>
    <row r="71" spans="2:47" ht="12" customHeight="1" x14ac:dyDescent="0.2">
      <c r="C71" s="3"/>
    </row>
    <row r="72" spans="2:47" ht="12" customHeight="1" x14ac:dyDescent="0.2">
      <c r="C72" s="3"/>
    </row>
    <row r="73" spans="2:47" ht="12" customHeight="1" x14ac:dyDescent="0.2">
      <c r="C73" s="3"/>
    </row>
    <row r="75" spans="2:47" ht="12" hidden="1" customHeight="1" outlineLevel="1" x14ac:dyDescent="0.2">
      <c r="C75" s="16" t="s">
        <v>268</v>
      </c>
      <c r="H75" s="3">
        <v>29507028</v>
      </c>
      <c r="I75" s="3">
        <v>29496428</v>
      </c>
      <c r="J75" s="3">
        <v>29482284.838827834</v>
      </c>
      <c r="K75" s="3">
        <v>29450307.846575346</v>
      </c>
      <c r="L75" s="3">
        <v>29419021.635164827</v>
      </c>
      <c r="M75" s="3">
        <v>29392824</v>
      </c>
      <c r="N75" s="3">
        <v>29279552.992163006</v>
      </c>
      <c r="O75" s="3">
        <v>29253721.175342459</v>
      </c>
      <c r="P75" s="3">
        <v>29210974.15384616</v>
      </c>
      <c r="Q75" s="3">
        <v>29208651.07692308</v>
      </c>
      <c r="R75" s="3">
        <v>29207708.656934306</v>
      </c>
      <c r="S75" s="3">
        <v>29204906.961748611</v>
      </c>
      <c r="T75" s="3">
        <v>29187006.888888899</v>
      </c>
      <c r="U75" s="3">
        <v>29182782.696132593</v>
      </c>
      <c r="V75" s="3">
        <v>29180910.783882786</v>
      </c>
      <c r="W75" s="3">
        <v>29178619.232876718</v>
      </c>
      <c r="X75" s="3">
        <v>29125854.488888897</v>
      </c>
      <c r="Y75" s="3">
        <v>29094435.060773481</v>
      </c>
      <c r="Z75" s="3">
        <f>Z78</f>
        <v>29078474.219780225</v>
      </c>
      <c r="AA75" s="3">
        <f>AA78</f>
        <v>29070559.39178082</v>
      </c>
      <c r="AB75" s="3">
        <v>29047073</v>
      </c>
      <c r="AC75" s="3">
        <v>29047073</v>
      </c>
      <c r="AD75" s="3">
        <v>29047073</v>
      </c>
      <c r="AE75" s="3">
        <v>29047073</v>
      </c>
      <c r="AF75" s="3">
        <v>29047073</v>
      </c>
      <c r="AG75" s="3">
        <f>AF75</f>
        <v>29047073</v>
      </c>
      <c r="AH75" s="3">
        <v>29047073</v>
      </c>
      <c r="AI75" s="3">
        <f>AH75</f>
        <v>29047073</v>
      </c>
      <c r="AJ75" s="3">
        <f>AI75</f>
        <v>29047073</v>
      </c>
      <c r="AK75" s="3">
        <v>29047073</v>
      </c>
      <c r="AL75" s="3">
        <v>29045529.084249087</v>
      </c>
      <c r="AM75" s="3">
        <v>29037898.509589061</v>
      </c>
    </row>
    <row r="76" spans="2:47" s="106" customFormat="1" ht="12" hidden="1" customHeight="1" outlineLevel="1" x14ac:dyDescent="0.2">
      <c r="C76" s="2" t="s">
        <v>263</v>
      </c>
      <c r="H76" s="106">
        <f>H61/H75*1000</f>
        <v>0.48629092702931653</v>
      </c>
      <c r="I76" s="106">
        <f>(H61+I61)/I75*1000</f>
        <v>1.1726843670698026</v>
      </c>
      <c r="J76" s="106">
        <f>(H61+I61+J61)/J75*1000</f>
        <v>1.7509158561556168</v>
      </c>
      <c r="K76" s="106">
        <f>(H61+I61+J61+K61)/K75*1000</f>
        <v>2.3017755995335984</v>
      </c>
      <c r="L76" s="106">
        <f>L61/L75*1000</f>
        <v>0.51701243462900714</v>
      </c>
      <c r="M76" s="106">
        <f>(L61+M61)/M75*1000</f>
        <v>1.0170849864579192</v>
      </c>
      <c r="N76" s="106">
        <f>(L61+M61+N61)/N75*1000</f>
        <v>1.5116009459518185</v>
      </c>
      <c r="O76" s="106">
        <f>(L61+M61+N61+O61)/O75*1000</f>
        <v>1.8257506345899857</v>
      </c>
      <c r="P76" s="106">
        <f>P61/P75*1000</f>
        <v>0.57807041665457937</v>
      </c>
      <c r="Q76" s="106">
        <f>(P61+Q61)/Q75*1000</f>
        <v>1.069272248066105</v>
      </c>
      <c r="R76" s="106">
        <f t="shared" ref="R76:Y76" si="168">(P61+Q61+R61)/R75*1000</f>
        <v>1.6403546256486397</v>
      </c>
      <c r="S76" s="106">
        <f t="shared" si="168"/>
        <v>1.4842711211775277</v>
      </c>
      <c r="T76" s="106">
        <f t="shared" si="168"/>
        <v>2.3772221750635745</v>
      </c>
      <c r="U76" s="106">
        <f t="shared" si="168"/>
        <v>2.1188863530890969</v>
      </c>
      <c r="V76" s="106">
        <f t="shared" si="168"/>
        <v>2.1653196662695984</v>
      </c>
      <c r="W76" s="106">
        <f t="shared" si="168"/>
        <v>0.74777356069733614</v>
      </c>
      <c r="X76" s="106">
        <f t="shared" si="168"/>
        <v>0.29856634775530455</v>
      </c>
      <c r="Y76" s="106">
        <f t="shared" si="168"/>
        <v>-4.2997913428697521E-2</v>
      </c>
      <c r="Z76" s="106">
        <f t="shared" ref="Z76" si="169">(X61+Y61+Z61)/Z75*1000</f>
        <v>-0.12865186707269657</v>
      </c>
      <c r="AA76" s="106">
        <f t="shared" ref="AA76:AB76" si="170">(Y61+Z61+AA61)/AA75*1000</f>
        <v>0.36493965792070399</v>
      </c>
      <c r="AB76" s="106">
        <f t="shared" si="170"/>
        <v>0.53113785337338459</v>
      </c>
      <c r="AC76" s="106">
        <f t="shared" ref="AC76" si="171">(AA61+AB61+AC61)/AC75*1000</f>
        <v>0.7842786775796653</v>
      </c>
      <c r="AD76" s="106">
        <f t="shared" ref="AD76:AJ76" si="172">(AB61+AC61+AD61)/AD75*1000</f>
        <v>0.71883318501661075</v>
      </c>
      <c r="AE76" s="106">
        <f t="shared" si="172"/>
        <v>-1.4046165684232625E-2</v>
      </c>
      <c r="AF76" s="106">
        <f t="shared" si="172"/>
        <v>0.26453612038638108</v>
      </c>
      <c r="AG76" s="106">
        <f t="shared" si="172"/>
        <v>0.88084606665876453</v>
      </c>
      <c r="AH76" s="106">
        <f t="shared" si="172"/>
        <v>1.918781971594866</v>
      </c>
      <c r="AI76" s="106">
        <f t="shared" si="172"/>
        <v>2.103137896200419</v>
      </c>
      <c r="AJ76" s="106">
        <f t="shared" si="172"/>
        <v>1.6098351802951023</v>
      </c>
      <c r="AK76" s="106">
        <f t="shared" ref="AK76" si="173">(AI61+AJ61+AK61)/AK75*1000</f>
        <v>1.6217124527486815</v>
      </c>
      <c r="AL76" s="106">
        <f t="shared" ref="AL76:AM76" si="174">(AJ61+AK61+AL61)/AL75*1000</f>
        <v>1.8264773158760839</v>
      </c>
      <c r="AM76" s="106">
        <f t="shared" si="174"/>
        <v>2.3092580194071686</v>
      </c>
      <c r="AT76" s="3"/>
      <c r="AU76" s="3"/>
    </row>
    <row r="77" spans="2:47" ht="12" hidden="1" customHeight="1" outlineLevel="1" x14ac:dyDescent="0.2">
      <c r="J77" s="102"/>
    </row>
    <row r="78" spans="2:47" ht="12" hidden="1" customHeight="1" outlineLevel="1" x14ac:dyDescent="0.2">
      <c r="C78" s="16" t="s">
        <v>269</v>
      </c>
      <c r="H78" s="3">
        <v>29507028</v>
      </c>
      <c r="I78" s="3">
        <v>29505207.252747249</v>
      </c>
      <c r="J78" s="3">
        <v>29435420.445652172</v>
      </c>
      <c r="K78" s="3">
        <v>29355419.597826093</v>
      </c>
      <c r="L78" s="3">
        <v>29292153.111111112</v>
      </c>
      <c r="M78" s="3">
        <v>29261825.91208791</v>
      </c>
      <c r="N78" s="3">
        <v>29243074.652173907</v>
      </c>
      <c r="O78" s="3">
        <v>29218754.597826071</v>
      </c>
      <c r="P78" s="3">
        <v>29210974.15384616</v>
      </c>
      <c r="Q78" s="3">
        <v>29206328</v>
      </c>
      <c r="R78" s="3">
        <v>29205844.304347821</v>
      </c>
      <c r="S78" s="3">
        <v>29196562.782608695</v>
      </c>
      <c r="T78" s="3">
        <v>29187006.888888899</v>
      </c>
      <c r="U78" s="3">
        <v>29182782.696132593</v>
      </c>
      <c r="V78" s="3">
        <v>29180910.783882786</v>
      </c>
      <c r="W78" s="3">
        <v>29178619.232876718</v>
      </c>
      <c r="X78" s="3">
        <v>29125854.488888897</v>
      </c>
      <c r="Y78" s="3">
        <v>29094435.060773481</v>
      </c>
      <c r="Z78" s="3">
        <v>29078474.219780225</v>
      </c>
      <c r="AA78" s="3">
        <v>29070559.39178082</v>
      </c>
      <c r="AB78" s="3">
        <v>29047073</v>
      </c>
      <c r="AC78" s="3">
        <f t="shared" ref="AC78:AH78" si="175">AC75</f>
        <v>29047073</v>
      </c>
      <c r="AD78" s="3">
        <f t="shared" si="175"/>
        <v>29047073</v>
      </c>
      <c r="AE78" s="3">
        <f t="shared" si="175"/>
        <v>29047073</v>
      </c>
      <c r="AF78" s="3">
        <f t="shared" si="175"/>
        <v>29047073</v>
      </c>
      <c r="AG78" s="3">
        <f t="shared" si="175"/>
        <v>29047073</v>
      </c>
      <c r="AH78" s="3">
        <f t="shared" si="175"/>
        <v>29047073</v>
      </c>
      <c r="AI78" s="3">
        <f t="shared" ref="AI78:AL78" si="176">AI75</f>
        <v>29047073</v>
      </c>
      <c r="AJ78" s="3">
        <f t="shared" si="176"/>
        <v>29047073</v>
      </c>
      <c r="AK78" s="3">
        <f t="shared" si="176"/>
        <v>29047073</v>
      </c>
      <c r="AL78" s="3">
        <f t="shared" si="176"/>
        <v>29045529.084249087</v>
      </c>
      <c r="AM78" s="3">
        <f t="shared" ref="AM78" si="177">AM75</f>
        <v>29037898.509589061</v>
      </c>
    </row>
    <row r="79" spans="2:47" ht="12" customHeight="1" collapsed="1" x14ac:dyDescent="0.2"/>
  </sheetData>
  <mergeCells count="28">
    <mergeCell ref="H7:AI7"/>
    <mergeCell ref="B20:C20"/>
    <mergeCell ref="B63:C63"/>
    <mergeCell ref="B40:C40"/>
    <mergeCell ref="B42:C42"/>
    <mergeCell ref="B46:C46"/>
    <mergeCell ref="B48:C48"/>
    <mergeCell ref="B49:C49"/>
    <mergeCell ref="B59:C59"/>
    <mergeCell ref="B60:C60"/>
    <mergeCell ref="B39:C39"/>
    <mergeCell ref="B21:C21"/>
    <mergeCell ref="B24:C24"/>
    <mergeCell ref="B25:C25"/>
    <mergeCell ref="B26:C26"/>
    <mergeCell ref="B27:C27"/>
    <mergeCell ref="B7:C8"/>
    <mergeCell ref="B9:C9"/>
    <mergeCell ref="B10:C10"/>
    <mergeCell ref="B13:C13"/>
    <mergeCell ref="B16:C16"/>
    <mergeCell ref="B34:C34"/>
    <mergeCell ref="B35:C35"/>
    <mergeCell ref="B37:C37"/>
    <mergeCell ref="B38:C38"/>
    <mergeCell ref="B19:C19"/>
    <mergeCell ref="B31:C31"/>
    <mergeCell ref="B30:C30"/>
  </mergeCells>
  <pageMargins left="0.78740157480314965" right="0.78740157480314965" top="0.78740157480314965" bottom="1.1811023622047245" header="0.51181102362204722" footer="0.98425196850393704"/>
  <pageSetup paperSize="9" scale="4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C6C3-8415-48E5-93D8-FC4751E376EC}">
  <sheetPr>
    <tabColor rgb="FFC00000"/>
    <pageSetUpPr fitToPage="1"/>
  </sheetPr>
  <dimension ref="B1:AC79"/>
  <sheetViews>
    <sheetView showGridLines="0" topLeftCell="A5" zoomScaleNormal="100" zoomScaleSheetLayoutView="100" workbookViewId="0">
      <selection activeCell="O16" sqref="O16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8" width="0.140625" style="3" customWidth="1"/>
    <col min="9" max="16" width="9.28515625" style="3" customWidth="1"/>
    <col min="17" max="18" width="9.140625" style="3"/>
    <col min="19" max="19" width="12.28515625" style="158" customWidth="1"/>
    <col min="20" max="20" width="19.28515625" style="157" customWidth="1"/>
    <col min="21" max="21" width="17.7109375" style="155" customWidth="1"/>
    <col min="22" max="22" width="9.140625" style="157"/>
    <col min="23" max="23" width="22.7109375" style="157" customWidth="1"/>
    <col min="24" max="24" width="9.140625" style="157"/>
    <col min="25" max="16384" width="9.140625" style="3"/>
  </cols>
  <sheetData>
    <row r="1" spans="2:24" s="1" customFormat="1" ht="12" hidden="1" customHeight="1" x14ac:dyDescent="0.2">
      <c r="C1" s="2"/>
      <c r="S1" s="159"/>
      <c r="T1" s="144"/>
      <c r="U1" s="153"/>
      <c r="V1" s="157"/>
      <c r="W1" s="144"/>
      <c r="X1" s="144"/>
    </row>
    <row r="2" spans="2:24" s="1" customFormat="1" ht="12" hidden="1" customHeight="1" x14ac:dyDescent="0.2">
      <c r="C2" s="2"/>
      <c r="S2" s="159"/>
      <c r="T2" s="144"/>
      <c r="U2" s="153"/>
      <c r="V2" s="157"/>
      <c r="W2" s="144"/>
      <c r="X2" s="144"/>
    </row>
    <row r="3" spans="2:24" s="1" customFormat="1" ht="12" hidden="1" customHeight="1" x14ac:dyDescent="0.2">
      <c r="C3" s="2"/>
      <c r="S3" s="159"/>
      <c r="T3" s="144"/>
      <c r="U3" s="153"/>
      <c r="V3" s="157"/>
      <c r="W3" s="144"/>
      <c r="X3" s="144"/>
    </row>
    <row r="4" spans="2:24" s="1" customFormat="1" ht="12" hidden="1" customHeight="1" x14ac:dyDescent="0.2">
      <c r="C4" s="2"/>
      <c r="S4" s="159"/>
      <c r="T4" s="144"/>
      <c r="U4" s="153"/>
      <c r="V4" s="157"/>
      <c r="W4" s="144"/>
      <c r="X4" s="144"/>
    </row>
    <row r="5" spans="2:24" s="1" customFormat="1" ht="12" customHeight="1" x14ac:dyDescent="0.2">
      <c r="C5" s="2"/>
      <c r="S5" s="159"/>
      <c r="T5" s="144"/>
      <c r="U5" s="153"/>
      <c r="V5" s="157"/>
      <c r="W5" s="144"/>
      <c r="X5" s="144"/>
    </row>
    <row r="6" spans="2:24" s="94" customFormat="1" ht="12" customHeight="1" x14ac:dyDescent="0.2">
      <c r="B6" s="92" t="s">
        <v>266</v>
      </c>
      <c r="C6" s="93"/>
      <c r="D6" s="92"/>
      <c r="E6" s="92"/>
      <c r="F6" s="92"/>
      <c r="G6" s="92"/>
      <c r="I6" s="92"/>
      <c r="J6" s="92"/>
      <c r="K6" s="92"/>
      <c r="L6" s="92"/>
      <c r="M6" s="92"/>
      <c r="N6" s="92"/>
      <c r="O6" s="92"/>
      <c r="P6" s="92"/>
      <c r="S6" s="160"/>
      <c r="T6" s="156"/>
      <c r="U6" s="154"/>
      <c r="V6" s="157"/>
      <c r="W6" s="156"/>
      <c r="X6" s="156"/>
    </row>
    <row r="7" spans="2:24" ht="12" customHeight="1" x14ac:dyDescent="0.2">
      <c r="B7" s="191" t="s">
        <v>59</v>
      </c>
      <c r="C7" s="192"/>
      <c r="D7" s="17"/>
      <c r="E7" s="17"/>
      <c r="F7" s="17"/>
      <c r="G7" s="17"/>
      <c r="I7" s="206" t="s">
        <v>121</v>
      </c>
      <c r="J7" s="207"/>
      <c r="K7" s="207"/>
      <c r="L7" s="207"/>
      <c r="M7" s="208"/>
      <c r="N7" s="208"/>
      <c r="O7" s="208"/>
      <c r="P7" s="208"/>
      <c r="Q7" s="185"/>
    </row>
    <row r="8" spans="2:24" ht="12" customHeight="1" x14ac:dyDescent="0.2">
      <c r="B8" s="193"/>
      <c r="C8" s="194"/>
      <c r="D8" s="4" t="s">
        <v>51</v>
      </c>
      <c r="E8" s="4" t="s">
        <v>52</v>
      </c>
      <c r="F8" s="4" t="s">
        <v>53</v>
      </c>
      <c r="G8" s="4" t="s">
        <v>54</v>
      </c>
      <c r="I8" s="88">
        <v>2018</v>
      </c>
      <c r="J8" s="88">
        <v>2019</v>
      </c>
      <c r="K8" s="88">
        <v>2020</v>
      </c>
      <c r="L8" s="88">
        <v>2021</v>
      </c>
      <c r="M8" s="88">
        <v>2022</v>
      </c>
      <c r="N8" s="88">
        <v>2023</v>
      </c>
      <c r="O8" s="88">
        <v>2024</v>
      </c>
      <c r="P8" s="88">
        <v>2025</v>
      </c>
      <c r="Q8" s="88">
        <v>2026</v>
      </c>
    </row>
    <row r="9" spans="2:24" ht="12" customHeight="1" x14ac:dyDescent="0.2">
      <c r="B9" s="195" t="s">
        <v>26</v>
      </c>
      <c r="C9" s="196"/>
      <c r="D9" s="5"/>
      <c r="E9" s="5"/>
      <c r="F9" s="5"/>
      <c r="G9" s="5"/>
      <c r="H9" s="6"/>
      <c r="I9" s="28"/>
      <c r="J9" s="5"/>
      <c r="K9" s="26"/>
      <c r="L9" s="26"/>
      <c r="M9" s="26"/>
      <c r="N9" s="26"/>
      <c r="O9" s="26"/>
      <c r="P9" s="26"/>
      <c r="Q9" s="26"/>
    </row>
    <row r="10" spans="2:24" ht="12" customHeight="1" x14ac:dyDescent="0.2">
      <c r="B10" s="173" t="s">
        <v>0</v>
      </c>
      <c r="C10" s="173"/>
      <c r="D10" s="44"/>
      <c r="E10" s="44"/>
      <c r="F10" s="44"/>
      <c r="G10" s="44"/>
      <c r="H10" s="8"/>
      <c r="I10" s="44">
        <f t="shared" ref="I10:K10" si="0">SUM(I11:I12)</f>
        <v>827802</v>
      </c>
      <c r="J10" s="44">
        <f t="shared" si="0"/>
        <v>877593</v>
      </c>
      <c r="K10" s="44">
        <f t="shared" si="0"/>
        <v>934850</v>
      </c>
      <c r="L10" s="44">
        <f t="shared" ref="L10:O10" si="1">SUM(L11:L12)</f>
        <v>940083</v>
      </c>
      <c r="M10" s="44">
        <f t="shared" si="1"/>
        <v>1081792</v>
      </c>
      <c r="N10" s="44">
        <f t="shared" si="1"/>
        <v>1137174</v>
      </c>
      <c r="O10" s="44">
        <f t="shared" si="1"/>
        <v>1227799</v>
      </c>
      <c r="P10" s="44">
        <f t="shared" ref="P10:Q10" si="2">SUM(P11:P12)</f>
        <v>1201852</v>
      </c>
      <c r="Q10" s="44">
        <f t="shared" si="2"/>
        <v>332942</v>
      </c>
    </row>
    <row r="11" spans="2:24" ht="12" customHeight="1" x14ac:dyDescent="0.2">
      <c r="B11" s="18"/>
      <c r="C11" s="19" t="s">
        <v>1</v>
      </c>
      <c r="D11" s="9"/>
      <c r="E11" s="9"/>
      <c r="F11" s="9"/>
      <c r="G11" s="9"/>
      <c r="H11" s="8"/>
      <c r="I11" s="9">
        <f>SUM('_P&amp;L(g) (old)'!H11:K11)</f>
        <v>17964</v>
      </c>
      <c r="J11" s="9">
        <f>SUM('_P&amp;L(g) (old)'!L11:O11)</f>
        <v>21479</v>
      </c>
      <c r="K11" s="10">
        <f>SUM('P&amp;L(q)'!P11:S11)</f>
        <v>17239</v>
      </c>
      <c r="L11" s="10">
        <f>SUM('P&amp;L(q)'!$T11:W11)</f>
        <v>20478</v>
      </c>
      <c r="M11" s="10">
        <f>SUM('P&amp;L(q)'!$X11:AA11)</f>
        <v>3783</v>
      </c>
      <c r="N11" s="10">
        <f>SUM('P&amp;L(q)'!$AB11:AE11)</f>
        <v>0</v>
      </c>
      <c r="O11" s="10">
        <f>SUM('P&amp;L(q)'!$AF11:AI11)</f>
        <v>0</v>
      </c>
      <c r="P11" s="10">
        <f>SUM('P&amp;L(q)'!$AJ11:AM11)</f>
        <v>0</v>
      </c>
      <c r="Q11" s="10">
        <f>SUM('P&amp;L(q)'!$AN11:AN11)</f>
        <v>139</v>
      </c>
    </row>
    <row r="12" spans="2:24" ht="12" customHeight="1" x14ac:dyDescent="0.2">
      <c r="B12" s="18"/>
      <c r="C12" s="19" t="s">
        <v>2</v>
      </c>
      <c r="D12" s="9"/>
      <c r="E12" s="9"/>
      <c r="F12" s="9"/>
      <c r="G12" s="9"/>
      <c r="H12" s="8"/>
      <c r="I12" s="9">
        <f>SUM('_P&amp;L(g) (old)'!H12:K12)</f>
        <v>809838</v>
      </c>
      <c r="J12" s="9">
        <f>SUM('_P&amp;L(g) (old)'!L12:O12)</f>
        <v>856114</v>
      </c>
      <c r="K12" s="10">
        <f>SUM('P&amp;L(q)'!P12:S12)</f>
        <v>917611</v>
      </c>
      <c r="L12" s="10">
        <f>SUM('P&amp;L(q)'!$T12:W12)</f>
        <v>919605</v>
      </c>
      <c r="M12" s="10">
        <f>SUM('P&amp;L(q)'!$X12:AA12)</f>
        <v>1078009</v>
      </c>
      <c r="N12" s="10">
        <f>SUM('P&amp;L(q)'!$AB12:AE12)</f>
        <v>1137174</v>
      </c>
      <c r="O12" s="10">
        <f>SUM('P&amp;L(q)'!$AF12:AI12)</f>
        <v>1227799</v>
      </c>
      <c r="P12" s="10">
        <f>SUM('P&amp;L(q)'!$AJ12:AM12)</f>
        <v>1201852</v>
      </c>
      <c r="Q12" s="10">
        <f>SUM('P&amp;L(q)'!$AN12:AN12)</f>
        <v>332803</v>
      </c>
    </row>
    <row r="13" spans="2:24" ht="12" customHeight="1" x14ac:dyDescent="0.2">
      <c r="B13" s="173" t="s">
        <v>33</v>
      </c>
      <c r="C13" s="173"/>
      <c r="D13" s="44"/>
      <c r="E13" s="44"/>
      <c r="F13" s="44"/>
      <c r="G13" s="44"/>
      <c r="H13" s="8"/>
      <c r="I13" s="44">
        <f t="shared" ref="I13:K13" si="3">SUM(I14:I15)</f>
        <v>-568897</v>
      </c>
      <c r="J13" s="44">
        <f t="shared" si="3"/>
        <v>-639831</v>
      </c>
      <c r="K13" s="44">
        <f t="shared" si="3"/>
        <v>-705240</v>
      </c>
      <c r="L13" s="44">
        <f t="shared" ref="L13:O13" si="4">SUM(L14:L15)</f>
        <v>-726506</v>
      </c>
      <c r="M13" s="44">
        <f t="shared" si="4"/>
        <v>-857531</v>
      </c>
      <c r="N13" s="44">
        <f t="shared" si="4"/>
        <v>-881346</v>
      </c>
      <c r="O13" s="44">
        <f t="shared" si="4"/>
        <v>-913065</v>
      </c>
      <c r="P13" s="44">
        <f t="shared" ref="P13:Q13" si="5">SUM(P14:P15)</f>
        <v>-896304</v>
      </c>
      <c r="Q13" s="44">
        <f t="shared" si="5"/>
        <v>-240316</v>
      </c>
    </row>
    <row r="14" spans="2:24" ht="12" customHeight="1" x14ac:dyDescent="0.2">
      <c r="B14" s="18"/>
      <c r="C14" s="19" t="s">
        <v>1</v>
      </c>
      <c r="D14" s="9"/>
      <c r="E14" s="9"/>
      <c r="F14" s="9"/>
      <c r="G14" s="9"/>
      <c r="H14" s="8"/>
      <c r="I14" s="9">
        <f>SUM('_P&amp;L(g) (old)'!H14:K14)</f>
        <v>-11906</v>
      </c>
      <c r="J14" s="9">
        <f>SUM('_P&amp;L(g) (old)'!L14:O14)</f>
        <v>-14190</v>
      </c>
      <c r="K14" s="10">
        <f>SUM('P&amp;L(q)'!P14:S14)</f>
        <v>-10895</v>
      </c>
      <c r="L14" s="10">
        <f>SUM('P&amp;L(q)'!$T14:W14)</f>
        <v>-13014</v>
      </c>
      <c r="M14" s="10">
        <f>SUM('P&amp;L(q)'!$X14:AA14)</f>
        <v>-2528</v>
      </c>
      <c r="N14" s="10">
        <f>SUM('P&amp;L(q)'!$AB14:AE14)</f>
        <v>0</v>
      </c>
      <c r="O14" s="10">
        <f>SUM('P&amp;L(q)'!$AF14:AI14)</f>
        <v>0</v>
      </c>
      <c r="P14" s="10">
        <f>SUM('P&amp;L(q)'!$AJ14:AM14)</f>
        <v>0</v>
      </c>
      <c r="Q14" s="10">
        <f>SUM('P&amp;L(q)'!$AN14:AN14)</f>
        <v>-76</v>
      </c>
    </row>
    <row r="15" spans="2:24" ht="12" customHeight="1" x14ac:dyDescent="0.2">
      <c r="B15" s="18"/>
      <c r="C15" s="19" t="s">
        <v>2</v>
      </c>
      <c r="D15" s="9"/>
      <c r="E15" s="9"/>
      <c r="F15" s="9"/>
      <c r="G15" s="9"/>
      <c r="H15" s="8"/>
      <c r="I15" s="9">
        <f>SUM('_P&amp;L(g) (old)'!H15:K15)</f>
        <v>-556991</v>
      </c>
      <c r="J15" s="9">
        <f>SUM('_P&amp;L(g) (old)'!L15:O15)</f>
        <v>-625641</v>
      </c>
      <c r="K15" s="10">
        <f>SUM('P&amp;L(q)'!P15:S15)</f>
        <v>-694345</v>
      </c>
      <c r="L15" s="10">
        <f>SUM('P&amp;L(q)'!$T15:W15)</f>
        <v>-713492</v>
      </c>
      <c r="M15" s="10">
        <f>SUM('P&amp;L(q)'!$X15:AA15)</f>
        <v>-855003</v>
      </c>
      <c r="N15" s="10">
        <f>SUM('P&amp;L(q)'!$AB15:AE15)</f>
        <v>-881346</v>
      </c>
      <c r="O15" s="10">
        <f>SUM('P&amp;L(q)'!$AF15:AI15)</f>
        <v>-913065</v>
      </c>
      <c r="P15" s="10">
        <f>SUM('P&amp;L(q)'!$AJ15:AM15)</f>
        <v>-896304</v>
      </c>
      <c r="Q15" s="10">
        <f>SUM('P&amp;L(q)'!$AN15:AN15)</f>
        <v>-240240</v>
      </c>
    </row>
    <row r="16" spans="2:24" ht="12" customHeight="1" x14ac:dyDescent="0.2">
      <c r="B16" s="173" t="s">
        <v>3</v>
      </c>
      <c r="C16" s="173"/>
      <c r="D16" s="44"/>
      <c r="E16" s="44"/>
      <c r="F16" s="44"/>
      <c r="G16" s="44"/>
      <c r="H16" s="8"/>
      <c r="I16" s="44">
        <f t="shared" ref="I16:K16" si="6">I10+I13</f>
        <v>258905</v>
      </c>
      <c r="J16" s="44">
        <f t="shared" si="6"/>
        <v>237762</v>
      </c>
      <c r="K16" s="44">
        <f t="shared" si="6"/>
        <v>229610</v>
      </c>
      <c r="L16" s="44">
        <f t="shared" ref="L16:O16" si="7">L10+L13</f>
        <v>213577</v>
      </c>
      <c r="M16" s="44">
        <f t="shared" si="7"/>
        <v>224261</v>
      </c>
      <c r="N16" s="44">
        <f t="shared" si="7"/>
        <v>255828</v>
      </c>
      <c r="O16" s="44">
        <f t="shared" si="7"/>
        <v>314734</v>
      </c>
      <c r="P16" s="44">
        <f t="shared" ref="P16:Q16" si="8">P10+P13</f>
        <v>305548</v>
      </c>
      <c r="Q16" s="44">
        <f t="shared" si="8"/>
        <v>92626</v>
      </c>
    </row>
    <row r="17" spans="2:26" ht="12" customHeight="1" x14ac:dyDescent="0.2">
      <c r="B17" s="18"/>
      <c r="C17" s="19" t="s">
        <v>4</v>
      </c>
      <c r="D17" s="9"/>
      <c r="E17" s="9"/>
      <c r="F17" s="9"/>
      <c r="G17" s="9"/>
      <c r="H17" s="8"/>
      <c r="I17" s="9">
        <f>SUM('_P&amp;L(g) (old)'!H17:K17)</f>
        <v>-42023</v>
      </c>
      <c r="J17" s="9">
        <f>SUM('_P&amp;L(g) (old)'!L17:O17)</f>
        <v>-39754</v>
      </c>
      <c r="K17" s="10">
        <f>SUM('P&amp;L(q)'!P17:S17)</f>
        <v>-32238</v>
      </c>
      <c r="L17" s="10">
        <f>SUM('P&amp;L(q)'!$T17:W17)</f>
        <v>-36552</v>
      </c>
      <c r="M17" s="10">
        <f>SUM('P&amp;L(q)'!$X17:AA17)</f>
        <v>-42422</v>
      </c>
      <c r="N17" s="10">
        <f>SUM('P&amp;L(q)'!$AB17:AE17)</f>
        <v>-44903</v>
      </c>
      <c r="O17" s="10">
        <f>SUM('P&amp;L(q)'!$AF17:AI17)</f>
        <v>-48381</v>
      </c>
      <c r="P17" s="10">
        <f>SUM('P&amp;L(q)'!$AJ17:AM17)</f>
        <v>-54509</v>
      </c>
      <c r="Q17" s="10">
        <f>SUM('P&amp;L(q)'!$AN17:AN17)</f>
        <v>-14813</v>
      </c>
    </row>
    <row r="18" spans="2:26" ht="12" customHeight="1" x14ac:dyDescent="0.2">
      <c r="B18" s="18"/>
      <c r="C18" s="19" t="s">
        <v>5</v>
      </c>
      <c r="D18" s="9"/>
      <c r="E18" s="9"/>
      <c r="F18" s="9"/>
      <c r="G18" s="9"/>
      <c r="H18" s="8"/>
      <c r="I18" s="9">
        <f>SUM('_P&amp;L(g) (old)'!H18:K18)</f>
        <v>-120012</v>
      </c>
      <c r="J18" s="9">
        <f>SUM('_P&amp;L(g) (old)'!L18:O18)</f>
        <v>-123474</v>
      </c>
      <c r="K18" s="10">
        <f>SUM('P&amp;L(q)'!P18:S18)</f>
        <v>-126134</v>
      </c>
      <c r="L18" s="10">
        <f>SUM('P&amp;L(q)'!$T18:W18)</f>
        <v>-128285</v>
      </c>
      <c r="M18" s="10">
        <f>SUM('P&amp;L(q)'!$X18:AA18)</f>
        <v>-136749</v>
      </c>
      <c r="N18" s="10">
        <f>SUM('P&amp;L(q)'!$AB18:AE18)</f>
        <v>-153655</v>
      </c>
      <c r="O18" s="10">
        <f>SUM('P&amp;L(q)'!$AF18:AI18)</f>
        <v>-162894</v>
      </c>
      <c r="P18" s="10">
        <f>SUM('P&amp;L(q)'!$AJ18:AM18)</f>
        <v>-179343</v>
      </c>
      <c r="Q18" s="10">
        <f>SUM('P&amp;L(q)'!$AN18:AN18)</f>
        <v>-43298</v>
      </c>
    </row>
    <row r="19" spans="2:26" ht="12" customHeight="1" x14ac:dyDescent="0.2">
      <c r="B19" s="173" t="s">
        <v>6</v>
      </c>
      <c r="C19" s="173"/>
      <c r="D19" s="44"/>
      <c r="E19" s="44"/>
      <c r="F19" s="44"/>
      <c r="G19" s="44"/>
      <c r="H19" s="8"/>
      <c r="I19" s="44">
        <f t="shared" ref="I19:K19" si="9">SUM(I16:I18)</f>
        <v>96870</v>
      </c>
      <c r="J19" s="44">
        <f t="shared" si="9"/>
        <v>74534</v>
      </c>
      <c r="K19" s="44">
        <f t="shared" si="9"/>
        <v>71238</v>
      </c>
      <c r="L19" s="44">
        <f t="shared" ref="L19:M19" si="10">SUM(L16:L18)</f>
        <v>48740</v>
      </c>
      <c r="M19" s="44">
        <f t="shared" si="10"/>
        <v>45090</v>
      </c>
      <c r="N19" s="44">
        <f t="shared" ref="N19:O19" si="11">SUM(N16:N18)</f>
        <v>57270</v>
      </c>
      <c r="O19" s="44">
        <f t="shared" si="11"/>
        <v>103459</v>
      </c>
      <c r="P19" s="44">
        <f t="shared" ref="P19:Q19" si="12">SUM(P16:P18)</f>
        <v>71696</v>
      </c>
      <c r="Q19" s="44">
        <f t="shared" si="12"/>
        <v>34515</v>
      </c>
    </row>
    <row r="20" spans="2:26" ht="12" customHeight="1" x14ac:dyDescent="0.2">
      <c r="B20" s="173" t="s">
        <v>346</v>
      </c>
      <c r="C20" s="173"/>
      <c r="D20" s="44"/>
      <c r="E20" s="44"/>
      <c r="F20" s="44"/>
      <c r="G20" s="44"/>
      <c r="H20" s="8"/>
      <c r="I20" s="44"/>
      <c r="J20" s="44"/>
      <c r="K20" s="44"/>
      <c r="L20" s="44"/>
      <c r="M20" s="44"/>
      <c r="N20" s="44"/>
      <c r="O20" s="44">
        <f>SUM('P&amp;L(q)'!$AF20:AI20)</f>
        <v>-280</v>
      </c>
      <c r="P20" s="44">
        <f>SUM('P&amp;L(q)'!$AJ20:AM20)</f>
        <v>478</v>
      </c>
      <c r="Q20" s="44">
        <f>SUM('P&amp;L(q)'!$AN20:AN20)</f>
        <v>-1656</v>
      </c>
    </row>
    <row r="21" spans="2:26" ht="12" customHeight="1" x14ac:dyDescent="0.2">
      <c r="B21" s="173" t="s">
        <v>34</v>
      </c>
      <c r="C21" s="173"/>
      <c r="D21" s="44"/>
      <c r="E21" s="44"/>
      <c r="F21" s="44"/>
      <c r="G21" s="44"/>
      <c r="H21" s="8"/>
      <c r="I21" s="44">
        <f t="shared" ref="I21:K21" si="13">SUM(I22:I23)</f>
        <v>-7087</v>
      </c>
      <c r="J21" s="44">
        <f t="shared" si="13"/>
        <v>490</v>
      </c>
      <c r="K21" s="44">
        <f t="shared" si="13"/>
        <v>6001.0000000000036</v>
      </c>
      <c r="L21" s="44">
        <f t="shared" ref="L21:M21" si="14">SUM(L22:L23)</f>
        <v>44425</v>
      </c>
      <c r="M21" s="44">
        <f t="shared" si="14"/>
        <v>-14194</v>
      </c>
      <c r="N21" s="44">
        <f t="shared" ref="N21:O21" si="15">SUM(N22:N23)</f>
        <v>-17138</v>
      </c>
      <c r="O21" s="44">
        <f t="shared" si="15"/>
        <v>-18045</v>
      </c>
      <c r="P21" s="44">
        <f t="shared" ref="P21:Q21" si="16">SUM(P22:P23)</f>
        <v>16092</v>
      </c>
      <c r="Q21" s="44">
        <f t="shared" si="16"/>
        <v>-4001</v>
      </c>
      <c r="R21" s="106"/>
    </row>
    <row r="22" spans="2:26" ht="12" customHeight="1" x14ac:dyDescent="0.2">
      <c r="B22" s="20"/>
      <c r="C22" s="21" t="s">
        <v>35</v>
      </c>
      <c r="D22" s="9"/>
      <c r="E22" s="9"/>
      <c r="F22" s="9"/>
      <c r="G22" s="9"/>
      <c r="H22" s="8"/>
      <c r="I22" s="9">
        <f>SUM('_P&amp;L(g) (old)'!H21:K21)</f>
        <v>6643</v>
      </c>
      <c r="J22" s="9">
        <f>SUM('_P&amp;L(g) (old)'!L21:O21)</f>
        <v>9109</v>
      </c>
      <c r="K22" s="10">
        <f>SUM('P&amp;L(q)'!P22:S22)</f>
        <v>13270.000000000004</v>
      </c>
      <c r="L22" s="10">
        <f>SUM('P&amp;L(q)'!$T22:W22)</f>
        <v>46042</v>
      </c>
      <c r="M22" s="10">
        <f>SUM('P&amp;L(q)'!$X22:AA22)</f>
        <v>4924</v>
      </c>
      <c r="N22" s="10">
        <f>SUM('P&amp;L(q)'!$AB22:AE22)</f>
        <v>3020</v>
      </c>
      <c r="O22" s="10">
        <f>SUM('P&amp;L(q)'!$AF22:AI22)</f>
        <v>2365</v>
      </c>
      <c r="P22" s="10">
        <f>SUM('P&amp;L(q)'!$AJ22:AM22)</f>
        <v>21448</v>
      </c>
      <c r="Q22" s="10">
        <f>SUM('P&amp;L(q)'!$AN22:AN22)</f>
        <v>615</v>
      </c>
    </row>
    <row r="23" spans="2:26" ht="12" customHeight="1" x14ac:dyDescent="0.2">
      <c r="B23" s="20"/>
      <c r="C23" s="21" t="s">
        <v>36</v>
      </c>
      <c r="D23" s="9"/>
      <c r="E23" s="9"/>
      <c r="F23" s="9"/>
      <c r="G23" s="9"/>
      <c r="H23" s="8"/>
      <c r="I23" s="9">
        <f>SUM('_P&amp;L(g) (old)'!H22:K22)</f>
        <v>-13730</v>
      </c>
      <c r="J23" s="9">
        <f>SUM('_P&amp;L(g) (old)'!L22:O22)</f>
        <v>-8619</v>
      </c>
      <c r="K23" s="10">
        <f>SUM('P&amp;L(q)'!P23:S23)</f>
        <v>-7269</v>
      </c>
      <c r="L23" s="10">
        <f>SUM('P&amp;L(q)'!$T23:W23)</f>
        <v>-1617</v>
      </c>
      <c r="M23" s="10">
        <f>SUM('P&amp;L(q)'!$X23:AA23)</f>
        <v>-19118</v>
      </c>
      <c r="N23" s="10">
        <f>SUM('P&amp;L(q)'!$AB23:AE23)</f>
        <v>-20158</v>
      </c>
      <c r="O23" s="10">
        <f>SUM('P&amp;L(q)'!$AF23:AI23)</f>
        <v>-20410</v>
      </c>
      <c r="P23" s="10">
        <f>SUM('P&amp;L(q)'!$AJ23:AM23)</f>
        <v>-5356</v>
      </c>
      <c r="Q23" s="10">
        <f>SUM('P&amp;L(q)'!$AN23:AN23)</f>
        <v>-4616</v>
      </c>
    </row>
    <row r="24" spans="2:26" s="15" customFormat="1" ht="12" customHeight="1" x14ac:dyDescent="0.2">
      <c r="B24" s="197" t="s">
        <v>7</v>
      </c>
      <c r="C24" s="198"/>
      <c r="D24" s="9"/>
      <c r="E24" s="9"/>
      <c r="F24" s="9"/>
      <c r="G24" s="9"/>
      <c r="H24" s="8"/>
      <c r="I24" s="9">
        <f>SUM('_P&amp;L(g) (old)'!H23:K23)</f>
        <v>1342</v>
      </c>
      <c r="J24" s="9">
        <f>SUM('_P&amp;L(g) (old)'!L23:O23)</f>
        <v>1393</v>
      </c>
      <c r="K24" s="10">
        <f>SUM('P&amp;L(q)'!P24:S24)</f>
        <v>1352</v>
      </c>
      <c r="L24" s="10">
        <f>SUM('P&amp;L(q)'!$T24:W24)</f>
        <v>1636</v>
      </c>
      <c r="M24" s="10">
        <f>SUM('P&amp;L(q)'!$X24:AA24)</f>
        <v>444</v>
      </c>
      <c r="N24" s="10">
        <f>SUM('P&amp;L(q)'!$AB24:AE24)</f>
        <v>0</v>
      </c>
      <c r="O24" s="10">
        <f>SUM('P&amp;L(q)'!$AF24:AI24)</f>
        <v>0</v>
      </c>
      <c r="P24" s="10">
        <f>SUM('P&amp;L(q)'!$AJ24:AM24)</f>
        <v>0</v>
      </c>
      <c r="Q24" s="10">
        <f>SUM('P&amp;L(q)'!$AN24:AN24)</f>
        <v>0</v>
      </c>
      <c r="R24" s="106"/>
      <c r="S24" s="158"/>
      <c r="T24" s="157"/>
      <c r="U24" s="155"/>
      <c r="V24" s="157"/>
      <c r="W24" s="157"/>
      <c r="X24" s="157"/>
      <c r="Y24" s="3"/>
    </row>
    <row r="25" spans="2:26" s="15" customFormat="1" ht="12" customHeight="1" x14ac:dyDescent="0.2">
      <c r="B25" s="197" t="s">
        <v>27</v>
      </c>
      <c r="C25" s="198"/>
      <c r="D25" s="9"/>
      <c r="E25" s="9"/>
      <c r="F25" s="9"/>
      <c r="G25" s="9"/>
      <c r="H25" s="8"/>
      <c r="I25" s="9">
        <f>SUM('_P&amp;L(g) (old)'!H24:K24)</f>
        <v>0</v>
      </c>
      <c r="J25" s="9">
        <f>SUM('_P&amp;L(g) (old)'!L24:O24)</f>
        <v>0</v>
      </c>
      <c r="K25" s="10">
        <f>SUM('P&amp;L(q)'!P25:S25)</f>
        <v>0</v>
      </c>
      <c r="L25" s="10">
        <f>SUM('P&amp;L(q)'!$T25:W25)</f>
        <v>0</v>
      </c>
      <c r="M25" s="10">
        <f>SUM('P&amp;L(q)'!$X25:AA25)</f>
        <v>0</v>
      </c>
      <c r="N25" s="10">
        <f>SUM('P&amp;L(q)'!$AB25:AE25)</f>
        <v>0</v>
      </c>
      <c r="O25" s="10">
        <f>SUM('P&amp;L(q)'!$AF25:AI25)</f>
        <v>0</v>
      </c>
      <c r="P25" s="10">
        <f>SUM('P&amp;L(q)'!$AJ25:AM25)</f>
        <v>0</v>
      </c>
      <c r="Q25" s="10">
        <f>SUM('P&amp;L(q)'!$AN25:AN25)</f>
        <v>0</v>
      </c>
      <c r="R25" s="106"/>
      <c r="S25" s="158"/>
      <c r="T25" s="157"/>
      <c r="U25" s="155"/>
      <c r="V25" s="157"/>
      <c r="W25" s="157"/>
      <c r="X25" s="157"/>
      <c r="Y25" s="3"/>
      <c r="Z25" s="3"/>
    </row>
    <row r="26" spans="2:26" ht="12" customHeight="1" x14ac:dyDescent="0.2">
      <c r="B26" s="173" t="s">
        <v>8</v>
      </c>
      <c r="C26" s="173"/>
      <c r="D26" s="44"/>
      <c r="E26" s="44"/>
      <c r="F26" s="44"/>
      <c r="G26" s="44"/>
      <c r="H26" s="8"/>
      <c r="I26" s="44">
        <f t="shared" ref="I26:N26" si="17">SUM(I19:I21)+I24+I25</f>
        <v>91125</v>
      </c>
      <c r="J26" s="44">
        <f t="shared" si="17"/>
        <v>76417</v>
      </c>
      <c r="K26" s="44">
        <f t="shared" si="17"/>
        <v>78591</v>
      </c>
      <c r="L26" s="44">
        <f t="shared" si="17"/>
        <v>94801</v>
      </c>
      <c r="M26" s="44">
        <f t="shared" si="17"/>
        <v>31340</v>
      </c>
      <c r="N26" s="44">
        <f t="shared" si="17"/>
        <v>40132</v>
      </c>
      <c r="O26" s="44">
        <f t="shared" ref="O26:P26" si="18">SUM(O19:O21)+O24+O25</f>
        <v>85134</v>
      </c>
      <c r="P26" s="44">
        <f t="shared" si="18"/>
        <v>88266</v>
      </c>
      <c r="Q26" s="44">
        <f t="shared" ref="Q26" si="19">SUM(Q19:Q21)+Q24+Q25</f>
        <v>28858</v>
      </c>
    </row>
    <row r="27" spans="2:26" ht="12" customHeight="1" x14ac:dyDescent="0.2">
      <c r="B27" s="173" t="s">
        <v>37</v>
      </c>
      <c r="C27" s="173"/>
      <c r="D27" s="44"/>
      <c r="E27" s="44"/>
      <c r="F27" s="44"/>
      <c r="G27" s="44"/>
      <c r="H27" s="8"/>
      <c r="I27" s="44">
        <f t="shared" ref="I27:K27" si="20">SUM(I28:I29)</f>
        <v>649</v>
      </c>
      <c r="J27" s="44">
        <f t="shared" si="20"/>
        <v>-2533</v>
      </c>
      <c r="K27" s="44">
        <f t="shared" si="20"/>
        <v>3325.9999999999991</v>
      </c>
      <c r="L27" s="44">
        <f t="shared" ref="L27:M27" si="21">SUM(L28:L29)</f>
        <v>-9557</v>
      </c>
      <c r="M27" s="44">
        <f t="shared" si="21"/>
        <v>-15425</v>
      </c>
      <c r="N27" s="44">
        <f t="shared" ref="N27:O27" si="22">SUM(N28:N29)</f>
        <v>-12588</v>
      </c>
      <c r="O27" s="44">
        <f t="shared" si="22"/>
        <v>-7599</v>
      </c>
      <c r="P27" s="44">
        <f t="shared" ref="P27:Q27" si="23">SUM(P28:P29)</f>
        <v>-7639</v>
      </c>
      <c r="Q27" s="44">
        <f t="shared" si="23"/>
        <v>-2823</v>
      </c>
      <c r="Y27" s="15"/>
    </row>
    <row r="28" spans="2:26" ht="12" customHeight="1" x14ac:dyDescent="0.2">
      <c r="B28" s="20"/>
      <c r="C28" s="21" t="s">
        <v>35</v>
      </c>
      <c r="D28" s="9"/>
      <c r="E28" s="9"/>
      <c r="F28" s="9"/>
      <c r="G28" s="9"/>
      <c r="H28" s="8"/>
      <c r="I28" s="9">
        <f>SUM('_P&amp;L(g) (old)'!H27:K27)</f>
        <v>7177</v>
      </c>
      <c r="J28" s="9">
        <f>SUM('_P&amp;L(g) (old)'!L27:O27)</f>
        <v>6377</v>
      </c>
      <c r="K28" s="10">
        <f>SUM('P&amp;L(q)'!P28:S28)</f>
        <v>8080</v>
      </c>
      <c r="L28" s="10">
        <f>SUM('P&amp;L(q)'!$T28:W28)</f>
        <v>1307.0000000000002</v>
      </c>
      <c r="M28" s="10">
        <f>SUM('P&amp;L(q)'!$X28:AA28)</f>
        <v>5268</v>
      </c>
      <c r="N28" s="10">
        <f>SUM('P&amp;L(q)'!$AB28:AE28)</f>
        <v>8079</v>
      </c>
      <c r="O28" s="10">
        <f>SUM('P&amp;L(q)'!$AF28:AI28)</f>
        <v>7001</v>
      </c>
      <c r="P28" s="10">
        <f>SUM('P&amp;L(q)'!$AJ28:AM28)</f>
        <v>2022</v>
      </c>
      <c r="Q28" s="10">
        <f>SUM('P&amp;L(q)'!$AN28:AN28)</f>
        <v>159</v>
      </c>
    </row>
    <row r="29" spans="2:26" ht="12" customHeight="1" x14ac:dyDescent="0.2">
      <c r="B29" s="20"/>
      <c r="C29" s="21" t="s">
        <v>36</v>
      </c>
      <c r="D29" s="9"/>
      <c r="E29" s="9"/>
      <c r="F29" s="9"/>
      <c r="G29" s="9"/>
      <c r="H29" s="8"/>
      <c r="I29" s="9">
        <f>SUM('_P&amp;L(g) (old)'!H28:K28)</f>
        <v>-6528</v>
      </c>
      <c r="J29" s="9">
        <f>SUM('_P&amp;L(g) (old)'!L28:O28)</f>
        <v>-8910</v>
      </c>
      <c r="K29" s="10">
        <f>SUM('P&amp;L(q)'!P29:S29)</f>
        <v>-4754.0000000000009</v>
      </c>
      <c r="L29" s="10">
        <f>SUM('P&amp;L(q)'!$T29:W29)</f>
        <v>-10864</v>
      </c>
      <c r="M29" s="10">
        <f>SUM('P&amp;L(q)'!$X29:AA29)</f>
        <v>-20693</v>
      </c>
      <c r="N29" s="10">
        <f>SUM('P&amp;L(q)'!$AB29:AE29)</f>
        <v>-20667</v>
      </c>
      <c r="O29" s="10">
        <f>SUM('P&amp;L(q)'!$AF29:AI29)</f>
        <v>-14600</v>
      </c>
      <c r="P29" s="10">
        <f>SUM('P&amp;L(q)'!$AJ29:AM29)</f>
        <v>-9661</v>
      </c>
      <c r="Q29" s="10">
        <f>SUM('P&amp;L(q)'!$AN29:AN29)</f>
        <v>-2982</v>
      </c>
      <c r="R29" s="106"/>
      <c r="Z29" s="15"/>
    </row>
    <row r="30" spans="2:26" s="15" customFormat="1" ht="12" customHeight="1" x14ac:dyDescent="0.2">
      <c r="B30" s="197" t="s">
        <v>28</v>
      </c>
      <c r="C30" s="198"/>
      <c r="D30" s="9"/>
      <c r="E30" s="9"/>
      <c r="F30" s="9"/>
      <c r="G30" s="9"/>
      <c r="H30" s="8"/>
      <c r="I30" s="9">
        <f>SUM('_P&amp;L(g) (old)'!H29:K29)</f>
        <v>0</v>
      </c>
      <c r="J30" s="9">
        <f>SUM('_P&amp;L(g) (old)'!L29:O29)</f>
        <v>0</v>
      </c>
      <c r="K30" s="10">
        <f>SUM('P&amp;L(q)'!P30:S30)</f>
        <v>0</v>
      </c>
      <c r="L30" s="10">
        <f>SUM('P&amp;L(q)'!$T30:W30)</f>
        <v>0</v>
      </c>
      <c r="M30" s="10">
        <f>SUM('P&amp;L(q)'!$X30:AA30)</f>
        <v>0</v>
      </c>
      <c r="N30" s="10">
        <f>SUM('P&amp;L(q)'!$AB30:AE30)</f>
        <v>0</v>
      </c>
      <c r="O30" s="10">
        <f>SUM('P&amp;L(q)'!$AF30:AI30)</f>
        <v>4283</v>
      </c>
      <c r="P30" s="10">
        <f>SUM('P&amp;L(q)'!$AJ30:AM30)</f>
        <v>0</v>
      </c>
      <c r="Q30" s="10">
        <f>SUM('P&amp;L(q)'!$AN30:AN30)</f>
        <v>0</v>
      </c>
      <c r="R30" s="106"/>
      <c r="S30" s="158"/>
      <c r="T30" s="157"/>
      <c r="U30" s="155"/>
      <c r="V30" s="157"/>
      <c r="W30" s="157"/>
      <c r="X30" s="157"/>
      <c r="Y30" s="3"/>
      <c r="Z30" s="3"/>
    </row>
    <row r="31" spans="2:26" ht="12" customHeight="1" x14ac:dyDescent="0.2">
      <c r="B31" s="173" t="s">
        <v>9</v>
      </c>
      <c r="C31" s="173"/>
      <c r="D31" s="44"/>
      <c r="E31" s="44"/>
      <c r="F31" s="44"/>
      <c r="G31" s="44"/>
      <c r="H31" s="8"/>
      <c r="I31" s="44" cm="1">
        <f t="array" ref="I31">SUM(I26:I27+I30)</f>
        <v>91774</v>
      </c>
      <c r="J31" s="44" cm="1">
        <f t="array" ref="J31">SUM(J26:J27+J30)</f>
        <v>73884</v>
      </c>
      <c r="K31" s="44" cm="1">
        <f t="array" ref="K31">SUM(K26:K27+K30)</f>
        <v>81917</v>
      </c>
      <c r="L31" s="44" cm="1">
        <f t="array" ref="L31">SUM(L26:L27+L30)</f>
        <v>85244</v>
      </c>
      <c r="M31" s="44" cm="1">
        <f t="array" ref="M31">SUM(M26:M27+M30)</f>
        <v>15915</v>
      </c>
      <c r="N31" s="44" cm="1">
        <f t="array" ref="N31">SUM(N26:N27+N30)</f>
        <v>27544</v>
      </c>
      <c r="O31" s="44">
        <f>SUM(O26:O27)+O30</f>
        <v>81818</v>
      </c>
      <c r="P31" s="44">
        <f>SUM(P26:P27)+P30</f>
        <v>80627</v>
      </c>
      <c r="Q31" s="44">
        <f>SUM(Q26:Q27)+Q30</f>
        <v>26035</v>
      </c>
      <c r="Y31" s="15"/>
    </row>
    <row r="32" spans="2:26" ht="12" customHeight="1" x14ac:dyDescent="0.2">
      <c r="B32" s="18"/>
      <c r="C32" s="19" t="s">
        <v>10</v>
      </c>
      <c r="D32" s="9"/>
      <c r="E32" s="9"/>
      <c r="F32" s="9"/>
      <c r="G32" s="9"/>
      <c r="H32" s="8"/>
      <c r="I32" s="9">
        <f>SUM('_P&amp;L(g) (old)'!H31:K31)</f>
        <v>-16958</v>
      </c>
      <c r="J32" s="9">
        <f>SUM('_P&amp;L(g) (old)'!L31:O31)</f>
        <v>-15659</v>
      </c>
      <c r="K32" s="10">
        <f>SUM('P&amp;L(q)'!P32:S32)</f>
        <v>-15479</v>
      </c>
      <c r="L32" s="10">
        <f>SUM('P&amp;L(q)'!$T32:W32)</f>
        <v>-24929</v>
      </c>
      <c r="M32" s="10">
        <f>SUM('P&amp;L(q)'!$X32:AA32)</f>
        <v>-9019</v>
      </c>
      <c r="N32" s="10">
        <f>SUM('P&amp;L(q)'!$AB32:AE32)</f>
        <v>-7326</v>
      </c>
      <c r="O32" s="10">
        <f>SUM('P&amp;L(q)'!$AF32:AI32)</f>
        <v>-12719</v>
      </c>
      <c r="P32" s="10">
        <f>SUM('P&amp;L(q)'!$AJ32:AM32)</f>
        <v>-8647</v>
      </c>
      <c r="Q32" s="10">
        <f>SUM('P&amp;L(q)'!$AN32:AN32)</f>
        <v>-4643</v>
      </c>
    </row>
    <row r="33" spans="2:26" ht="12" customHeight="1" x14ac:dyDescent="0.2">
      <c r="B33" s="18"/>
      <c r="C33" s="19" t="s">
        <v>11</v>
      </c>
      <c r="D33" s="9"/>
      <c r="E33" s="9"/>
      <c r="F33" s="9"/>
      <c r="G33" s="9"/>
      <c r="H33" s="8"/>
      <c r="I33" s="9">
        <f>SUM('_P&amp;L(g) (old)'!H32:K32)</f>
        <v>-5580</v>
      </c>
      <c r="J33" s="9">
        <f>SUM('_P&amp;L(g) (old)'!L32:O32)</f>
        <v>-2938</v>
      </c>
      <c r="K33" s="10">
        <f>SUM('P&amp;L(q)'!P33:S33)</f>
        <v>-4201</v>
      </c>
      <c r="L33" s="10">
        <f>SUM('P&amp;L(q)'!$T33:W33)</f>
        <v>3021</v>
      </c>
      <c r="M33" s="10">
        <f>SUM('P&amp;L(q)'!$X33:AA33)</f>
        <v>309</v>
      </c>
      <c r="N33" s="10">
        <f>SUM('P&amp;L(q)'!$AB33:AE33)</f>
        <v>-11714</v>
      </c>
      <c r="O33" s="10">
        <f>SUM('P&amp;L(q)'!$AF33:AI33)</f>
        <v>4115</v>
      </c>
      <c r="P33" s="10">
        <f>SUM('P&amp;L(q)'!$AJ33:AM33)</f>
        <v>7191</v>
      </c>
      <c r="Q33" s="10">
        <f>SUM('P&amp;L(q)'!$AN33:AN33)</f>
        <v>-1306</v>
      </c>
      <c r="Y33" s="15"/>
      <c r="Z33" s="15"/>
    </row>
    <row r="34" spans="2:26" ht="12" customHeight="1" x14ac:dyDescent="0.2">
      <c r="B34" s="173" t="s">
        <v>12</v>
      </c>
      <c r="C34" s="173"/>
      <c r="D34" s="44"/>
      <c r="E34" s="44"/>
      <c r="F34" s="44"/>
      <c r="G34" s="44"/>
      <c r="H34" s="8"/>
      <c r="I34" s="44">
        <f t="shared" ref="I34:K34" si="24">SUM(I31:I33)</f>
        <v>69236</v>
      </c>
      <c r="J34" s="44">
        <f t="shared" si="24"/>
        <v>55287</v>
      </c>
      <c r="K34" s="44">
        <f t="shared" si="24"/>
        <v>62237</v>
      </c>
      <c r="L34" s="44">
        <f t="shared" ref="L34:O34" si="25">SUM(L31:L33)</f>
        <v>63336</v>
      </c>
      <c r="M34" s="44">
        <f t="shared" si="25"/>
        <v>7205</v>
      </c>
      <c r="N34" s="44">
        <f t="shared" si="25"/>
        <v>8504</v>
      </c>
      <c r="O34" s="44">
        <f t="shared" si="25"/>
        <v>73214</v>
      </c>
      <c r="P34" s="44">
        <f t="shared" ref="P34:Q34" si="26">SUM(P31:P33)</f>
        <v>79171</v>
      </c>
      <c r="Q34" s="44">
        <f t="shared" si="26"/>
        <v>20086</v>
      </c>
    </row>
    <row r="35" spans="2:26" s="15" customFormat="1" ht="12" customHeight="1" x14ac:dyDescent="0.2">
      <c r="B35" s="199" t="s">
        <v>13</v>
      </c>
      <c r="C35" s="200"/>
      <c r="D35" s="24"/>
      <c r="E35" s="24"/>
      <c r="F35" s="24"/>
      <c r="G35" s="24"/>
      <c r="H35" s="8"/>
      <c r="I35" s="24"/>
      <c r="J35" s="24"/>
      <c r="K35" s="27"/>
      <c r="L35" s="27"/>
      <c r="M35" s="27"/>
      <c r="N35" s="27"/>
      <c r="O35" s="27"/>
      <c r="P35" s="27"/>
      <c r="Q35" s="27"/>
      <c r="R35" s="3"/>
      <c r="V35" s="157"/>
      <c r="W35" s="157"/>
      <c r="X35" s="157"/>
      <c r="Y35" s="3"/>
    </row>
    <row r="36" spans="2:26" ht="12" customHeight="1" x14ac:dyDescent="0.2">
      <c r="B36" s="18"/>
      <c r="C36" s="19" t="s">
        <v>14</v>
      </c>
      <c r="D36" s="9"/>
      <c r="E36" s="9"/>
      <c r="F36" s="9"/>
      <c r="G36" s="9"/>
      <c r="H36" s="8"/>
      <c r="I36" s="9">
        <f>SUM('_P&amp;L(g) (old)'!H35:K35)</f>
        <v>1169</v>
      </c>
      <c r="J36" s="9">
        <f>SUM('_P&amp;L(g) (old)'!L35:O35)</f>
        <v>0</v>
      </c>
      <c r="K36" s="10">
        <f>SUM('P&amp;L(q)'!P36:S36)</f>
        <v>0</v>
      </c>
      <c r="L36" s="10">
        <f>SUM('P&amp;L(q)'!$T36:W36)</f>
        <v>0</v>
      </c>
      <c r="M36" s="10">
        <f>SUM('P&amp;L(q)'!$X36:AA36)</f>
        <v>0</v>
      </c>
      <c r="N36" s="10">
        <f>SUM('P&amp;L(q)'!$AB36:AE36)</f>
        <v>0</v>
      </c>
      <c r="O36" s="10">
        <f>SUM('P&amp;L(q)'!$AF36:AI36)</f>
        <v>0</v>
      </c>
      <c r="P36" s="10">
        <f>SUM('P&amp;L(q)'!$AJ36:AM36)</f>
        <v>0</v>
      </c>
      <c r="Q36" s="10">
        <f>SUM('P&amp;L(q)'!$AN36:AN36)</f>
        <v>0</v>
      </c>
    </row>
    <row r="37" spans="2:26" s="15" customFormat="1" ht="12" customHeight="1" x14ac:dyDescent="0.2">
      <c r="B37" s="199" t="s">
        <v>15</v>
      </c>
      <c r="C37" s="200"/>
      <c r="D37" s="7"/>
      <c r="E37" s="7"/>
      <c r="F37" s="7"/>
      <c r="G37" s="7"/>
      <c r="H37" s="8"/>
      <c r="I37" s="7"/>
      <c r="J37" s="7"/>
      <c r="K37" s="7"/>
      <c r="L37" s="7"/>
      <c r="M37" s="7"/>
      <c r="N37" s="7"/>
      <c r="O37" s="7"/>
      <c r="P37" s="7"/>
      <c r="Q37" s="7"/>
      <c r="R37" s="3"/>
      <c r="S37" s="158"/>
      <c r="T37" s="157"/>
      <c r="U37" s="155"/>
      <c r="V37" s="157"/>
      <c r="W37" s="157"/>
      <c r="X37" s="157"/>
      <c r="Y37" s="3"/>
      <c r="Z37" s="3"/>
    </row>
    <row r="38" spans="2:26" ht="12" customHeight="1" x14ac:dyDescent="0.2">
      <c r="B38" s="173" t="s">
        <v>16</v>
      </c>
      <c r="C38" s="173"/>
      <c r="D38" s="44"/>
      <c r="E38" s="44"/>
      <c r="F38" s="44"/>
      <c r="G38" s="44"/>
      <c r="H38" s="8"/>
      <c r="I38" s="44">
        <f t="shared" ref="I38:K38" si="27">I34+I36</f>
        <v>70405</v>
      </c>
      <c r="J38" s="44">
        <f t="shared" si="27"/>
        <v>55287</v>
      </c>
      <c r="K38" s="44">
        <f t="shared" si="27"/>
        <v>62237</v>
      </c>
      <c r="L38" s="44">
        <f t="shared" ref="L38:M38" si="28">L34+L36</f>
        <v>63336</v>
      </c>
      <c r="M38" s="44">
        <f t="shared" si="28"/>
        <v>7205</v>
      </c>
      <c r="N38" s="44">
        <f>N34+N36</f>
        <v>8504</v>
      </c>
      <c r="O38" s="44">
        <f>O34+O36</f>
        <v>73214</v>
      </c>
      <c r="P38" s="44">
        <f>P34+P36</f>
        <v>79171</v>
      </c>
      <c r="Q38" s="44">
        <f>Q34+Q36</f>
        <v>20086</v>
      </c>
    </row>
    <row r="39" spans="2:26" ht="12" customHeight="1" x14ac:dyDescent="0.2">
      <c r="B39" s="127"/>
      <c r="C39" s="128"/>
      <c r="D39" s="129"/>
      <c r="E39" s="129"/>
      <c r="F39" s="129"/>
      <c r="G39" s="129"/>
      <c r="H39" s="8"/>
      <c r="I39" s="129"/>
      <c r="J39" s="129"/>
      <c r="K39" s="129"/>
      <c r="L39" s="129"/>
      <c r="M39" s="129"/>
      <c r="N39" s="129"/>
      <c r="O39" s="129"/>
      <c r="P39" s="129"/>
      <c r="Q39" s="129"/>
      <c r="S39" s="3"/>
    </row>
    <row r="40" spans="2:26" ht="12" customHeight="1" x14ac:dyDescent="0.2">
      <c r="B40" s="173" t="s">
        <v>8</v>
      </c>
      <c r="C40" s="173"/>
      <c r="D40" s="44"/>
      <c r="E40" s="44"/>
      <c r="F40" s="44"/>
      <c r="G40" s="44"/>
      <c r="H40" s="8"/>
      <c r="I40" s="44">
        <f t="shared" ref="I40:O40" si="29">I26</f>
        <v>91125</v>
      </c>
      <c r="J40" s="44">
        <f t="shared" si="29"/>
        <v>76417</v>
      </c>
      <c r="K40" s="44">
        <f t="shared" si="29"/>
        <v>78591</v>
      </c>
      <c r="L40" s="44">
        <f t="shared" si="29"/>
        <v>94801</v>
      </c>
      <c r="M40" s="44">
        <f t="shared" si="29"/>
        <v>31340</v>
      </c>
      <c r="N40" s="44">
        <f t="shared" si="29"/>
        <v>40132</v>
      </c>
      <c r="O40" s="44">
        <f t="shared" si="29"/>
        <v>85134</v>
      </c>
      <c r="P40" s="44">
        <f t="shared" ref="P40:Q40" si="30">P26</f>
        <v>88266</v>
      </c>
      <c r="Q40" s="44">
        <f t="shared" si="30"/>
        <v>28858</v>
      </c>
    </row>
    <row r="41" spans="2:26" ht="12" customHeight="1" x14ac:dyDescent="0.2">
      <c r="B41" s="11"/>
      <c r="C41" s="12" t="s">
        <v>22</v>
      </c>
      <c r="D41" s="9"/>
      <c r="E41" s="9"/>
      <c r="F41" s="9"/>
      <c r="G41" s="9"/>
      <c r="H41" s="8"/>
      <c r="I41" s="9">
        <f>SUM('_P&amp;L(g) (old)'!H40:K40)</f>
        <v>41782</v>
      </c>
      <c r="J41" s="9">
        <f>SUM('_P&amp;L(g) (old)'!L40:O40)</f>
        <v>49871</v>
      </c>
      <c r="K41" s="10">
        <f>SUM('P&amp;L(q)'!P41:S41)</f>
        <v>52509</v>
      </c>
      <c r="L41" s="10">
        <f>SUM('P&amp;L(q)'!$T41:W41)</f>
        <v>55772</v>
      </c>
      <c r="M41" s="10">
        <f>SUM('P&amp;L(q)'!$X41:AA41)</f>
        <v>55727</v>
      </c>
      <c r="N41" s="10">
        <f>SUM('P&amp;L(q)'!$AB41:AE41)</f>
        <v>56414</v>
      </c>
      <c r="O41" s="10">
        <f>SUM('P&amp;L(q)'!$AF41:AI41)</f>
        <v>57312</v>
      </c>
      <c r="P41" s="10">
        <f>SUM('P&amp;L(q)'!$AJ41:AM41)</f>
        <v>69664</v>
      </c>
      <c r="Q41" s="10">
        <f>SUM('P&amp;L(q)'!$AN41:AN41)</f>
        <v>18478</v>
      </c>
    </row>
    <row r="42" spans="2:26" ht="12" customHeight="1" x14ac:dyDescent="0.2">
      <c r="B42" s="173" t="s">
        <v>23</v>
      </c>
      <c r="C42" s="173"/>
      <c r="D42" s="44"/>
      <c r="E42" s="44"/>
      <c r="F42" s="44"/>
      <c r="G42" s="44"/>
      <c r="H42" s="8"/>
      <c r="I42" s="44">
        <f t="shared" ref="I42:L42" si="31">SUM(I40:I41)</f>
        <v>132907</v>
      </c>
      <c r="J42" s="44">
        <f t="shared" si="31"/>
        <v>126288</v>
      </c>
      <c r="K42" s="44">
        <f t="shared" si="31"/>
        <v>131100</v>
      </c>
      <c r="L42" s="44">
        <f t="shared" si="31"/>
        <v>150573</v>
      </c>
      <c r="M42" s="44">
        <f t="shared" ref="M42:N42" si="32">SUM(M40:M41)</f>
        <v>87067</v>
      </c>
      <c r="N42" s="44">
        <f t="shared" si="32"/>
        <v>96546</v>
      </c>
      <c r="O42" s="44">
        <f t="shared" ref="O42:P42" si="33">SUM(O40:O41)</f>
        <v>142446</v>
      </c>
      <c r="P42" s="44">
        <f t="shared" si="33"/>
        <v>157930</v>
      </c>
      <c r="Q42" s="44">
        <f t="shared" ref="Q42" si="34">SUM(Q40:Q41)</f>
        <v>47336</v>
      </c>
    </row>
    <row r="43" spans="2:26" ht="12" customHeight="1" x14ac:dyDescent="0.2">
      <c r="B43" s="11" t="s">
        <v>228</v>
      </c>
      <c r="C43" s="12"/>
      <c r="D43" s="9"/>
      <c r="E43" s="9"/>
      <c r="F43" s="9"/>
      <c r="G43" s="9"/>
      <c r="H43" s="102"/>
      <c r="I43" s="100">
        <f t="shared" ref="I43:N43" si="35">I42/I10</f>
        <v>0.16055409385336106</v>
      </c>
      <c r="J43" s="100">
        <f t="shared" si="35"/>
        <v>0.14390269749188975</v>
      </c>
      <c r="K43" s="103">
        <f t="shared" si="35"/>
        <v>0.14023640156174788</v>
      </c>
      <c r="L43" s="103">
        <f t="shared" si="35"/>
        <v>0.16016989989181807</v>
      </c>
      <c r="M43" s="103">
        <f t="shared" si="35"/>
        <v>8.0484048689581728E-2</v>
      </c>
      <c r="N43" s="103">
        <f t="shared" si="35"/>
        <v>8.4899936157527348E-2</v>
      </c>
      <c r="O43" s="103">
        <f t="shared" ref="O43:P43" si="36">O42/O10</f>
        <v>0.11601736114787518</v>
      </c>
      <c r="P43" s="103">
        <f t="shared" si="36"/>
        <v>0.13140553079746925</v>
      </c>
      <c r="Q43" s="103">
        <f t="shared" ref="Q43" si="37">Q42/Q10</f>
        <v>0.14217491334827087</v>
      </c>
    </row>
    <row r="44" spans="2:26" ht="12" customHeight="1" x14ac:dyDescent="0.2">
      <c r="B44" s="118"/>
      <c r="C44" s="119" t="s">
        <v>254</v>
      </c>
      <c r="D44" s="120"/>
      <c r="E44" s="120"/>
      <c r="F44" s="120"/>
      <c r="G44" s="120"/>
      <c r="H44" s="8"/>
      <c r="I44" s="121">
        <f t="shared" ref="I44:N44" si="38">I61/I78*1000</f>
        <v>2.3017755995335984</v>
      </c>
      <c r="J44" s="121">
        <f t="shared" si="38"/>
        <v>1.8257506345899857</v>
      </c>
      <c r="K44" s="121">
        <f t="shared" si="38"/>
        <v>2.0624616294409708</v>
      </c>
      <c r="L44" s="121">
        <f t="shared" si="38"/>
        <v>2.1317321256214772</v>
      </c>
      <c r="M44" s="121">
        <f t="shared" si="38"/>
        <v>0.22758419990605877</v>
      </c>
      <c r="N44" s="121">
        <f t="shared" si="38"/>
        <v>0.28016592239775762</v>
      </c>
      <c r="O44" s="121">
        <f t="shared" ref="O44:P44" si="39">O61/O78*1000</f>
        <v>2.5152276100245969</v>
      </c>
      <c r="P44" s="121">
        <f t="shared" si="39"/>
        <v>2.7235097599739908</v>
      </c>
      <c r="Q44" s="121">
        <f t="shared" ref="Q44" si="40">Q61/Q78*1000</f>
        <v>0.68813359749422631</v>
      </c>
    </row>
    <row r="45" spans="2:26" ht="12" customHeight="1" x14ac:dyDescent="0.2">
      <c r="B45" s="123"/>
      <c r="C45" s="124"/>
      <c r="D45" s="125"/>
      <c r="E45" s="125"/>
      <c r="F45" s="125"/>
      <c r="G45" s="125"/>
      <c r="H45" s="126"/>
      <c r="I45" s="125"/>
      <c r="J45" s="125"/>
      <c r="K45" s="125"/>
      <c r="L45" s="125"/>
      <c r="M45" s="125"/>
      <c r="N45" s="125"/>
      <c r="O45" s="125"/>
      <c r="P45" s="125"/>
      <c r="Q45" s="125"/>
    </row>
    <row r="46" spans="2:26" ht="12" customHeight="1" x14ac:dyDescent="0.2">
      <c r="B46" s="127"/>
      <c r="C46" s="128"/>
      <c r="D46" s="129"/>
      <c r="E46" s="129"/>
      <c r="F46" s="129"/>
      <c r="G46" s="129"/>
      <c r="H46" s="8"/>
      <c r="I46" s="129"/>
      <c r="J46" s="129"/>
      <c r="K46" s="129"/>
      <c r="L46" s="129"/>
      <c r="M46" s="129"/>
      <c r="N46" s="129"/>
      <c r="O46" s="129"/>
      <c r="P46" s="129"/>
      <c r="Q46" s="129"/>
    </row>
    <row r="47" spans="2:26" ht="12" customHeight="1" x14ac:dyDescent="0.2">
      <c r="B47" s="130"/>
      <c r="C47" s="131"/>
      <c r="D47" s="132"/>
      <c r="E47" s="132"/>
      <c r="F47" s="132"/>
      <c r="G47" s="132"/>
      <c r="H47" s="133"/>
      <c r="I47" s="132"/>
      <c r="J47" s="132"/>
      <c r="K47" s="132"/>
      <c r="L47" s="132"/>
      <c r="M47" s="132"/>
      <c r="N47" s="132"/>
      <c r="O47" s="132"/>
      <c r="P47" s="132"/>
      <c r="Q47" s="132"/>
    </row>
    <row r="48" spans="2:26" ht="12" customHeight="1" x14ac:dyDescent="0.2">
      <c r="B48" s="209" t="s">
        <v>38</v>
      </c>
      <c r="C48" s="210"/>
      <c r="D48" s="122"/>
      <c r="E48" s="122"/>
      <c r="F48" s="122"/>
      <c r="G48" s="122"/>
      <c r="H48" s="8"/>
      <c r="I48" s="122"/>
      <c r="J48" s="122"/>
      <c r="K48" s="122"/>
      <c r="L48" s="122"/>
      <c r="M48" s="122"/>
      <c r="N48" s="122"/>
      <c r="O48" s="122"/>
      <c r="P48" s="122"/>
      <c r="Q48" s="122"/>
      <c r="S48" s="157"/>
      <c r="T48" s="155"/>
      <c r="U48" s="157"/>
    </row>
    <row r="49" spans="2:21" ht="12" customHeight="1" x14ac:dyDescent="0.2">
      <c r="B49" s="173" t="s">
        <v>39</v>
      </c>
      <c r="C49" s="173"/>
      <c r="D49" s="44"/>
      <c r="E49" s="44"/>
      <c r="F49" s="44"/>
      <c r="G49" s="44"/>
      <c r="H49" s="8"/>
      <c r="I49" s="44">
        <f t="shared" ref="I49:L49" si="41">SUM(I51:I54)+SUM(I56:I58)</f>
        <v>-1666</v>
      </c>
      <c r="J49" s="44">
        <f t="shared" si="41"/>
        <v>3489</v>
      </c>
      <c r="K49" s="44">
        <f t="shared" si="41"/>
        <v>-2644</v>
      </c>
      <c r="L49" s="44">
        <f t="shared" si="41"/>
        <v>5873.0000000000009</v>
      </c>
      <c r="M49" s="44">
        <f t="shared" ref="M49:O49" si="42">SUM(M51:M54)+SUM(M56:M58)</f>
        <v>4767</v>
      </c>
      <c r="N49" s="44">
        <f t="shared" si="42"/>
        <v>5887</v>
      </c>
      <c r="O49" s="44">
        <f t="shared" si="42"/>
        <v>-2261</v>
      </c>
      <c r="P49" s="44">
        <f t="shared" ref="P49:Q49" si="43">SUM(P51:P54)+SUM(P56:P58)</f>
        <v>-1796</v>
      </c>
      <c r="Q49" s="44">
        <f t="shared" si="43"/>
        <v>1527</v>
      </c>
      <c r="S49" s="157"/>
      <c r="T49" s="155"/>
    </row>
    <row r="50" spans="2:21" ht="12" customHeight="1" x14ac:dyDescent="0.2">
      <c r="B50" s="22"/>
      <c r="C50" s="23" t="s">
        <v>40</v>
      </c>
      <c r="D50" s="9"/>
      <c r="E50" s="9"/>
      <c r="F50" s="9"/>
      <c r="G50" s="9"/>
      <c r="H50" s="8"/>
      <c r="I50" s="14"/>
      <c r="J50" s="14"/>
      <c r="K50" s="14"/>
      <c r="L50" s="14"/>
      <c r="M50" s="14"/>
      <c r="N50" s="14"/>
      <c r="O50" s="14"/>
      <c r="P50" s="14"/>
      <c r="Q50" s="14"/>
      <c r="S50" s="157"/>
      <c r="T50" s="155"/>
      <c r="U50" s="157"/>
    </row>
    <row r="51" spans="2:21" ht="12" customHeight="1" x14ac:dyDescent="0.2">
      <c r="B51" s="18"/>
      <c r="C51" s="19" t="s">
        <v>17</v>
      </c>
      <c r="D51" s="9"/>
      <c r="E51" s="9"/>
      <c r="F51" s="9"/>
      <c r="G51" s="9"/>
      <c r="H51" s="8"/>
      <c r="I51" s="9">
        <f>SUM('_P&amp;L(g) (old)'!H50:K50)</f>
        <v>1604</v>
      </c>
      <c r="J51" s="9">
        <f>SUM('_P&amp;L(g) (old)'!L50:O50)</f>
        <v>1542</v>
      </c>
      <c r="K51" s="10">
        <f>SUM('P&amp;L(q)'!P51:S51)</f>
        <v>5434</v>
      </c>
      <c r="L51" s="10">
        <f>SUM('P&amp;L(q)'!$T51:W51)</f>
        <v>2961.0000000000005</v>
      </c>
      <c r="M51" s="10">
        <f>SUM('P&amp;L(q)'!$X51:AA51)</f>
        <v>2402</v>
      </c>
      <c r="N51" s="10">
        <f>SUM('P&amp;L(q)'!$AB51:AE51)</f>
        <v>2839</v>
      </c>
      <c r="O51" s="10">
        <f>SUM('P&amp;L(q)'!$AF51:AI51)</f>
        <v>-718</v>
      </c>
      <c r="P51" s="10">
        <f>SUM('P&amp;L(q)'!$AJ51:AM51)</f>
        <v>-194</v>
      </c>
      <c r="Q51" s="10">
        <f>SUM('P&amp;L(q)'!$AN51:AN51)</f>
        <v>381</v>
      </c>
      <c r="S51" s="157"/>
      <c r="T51" s="155"/>
    </row>
    <row r="52" spans="2:21" ht="12" customHeight="1" x14ac:dyDescent="0.2">
      <c r="B52" s="18"/>
      <c r="C52" s="19" t="s">
        <v>29</v>
      </c>
      <c r="D52" s="9"/>
      <c r="E52" s="9"/>
      <c r="F52" s="9"/>
      <c r="G52" s="9"/>
      <c r="H52" s="8"/>
      <c r="I52" s="9">
        <f>SUM('_P&amp;L(g) (old)'!H51:K51)</f>
        <v>0</v>
      </c>
      <c r="J52" s="9">
        <f>SUM('_P&amp;L(g) (old)'!L51:O51)</f>
        <v>0</v>
      </c>
      <c r="K52" s="10">
        <f>SUM('P&amp;L(q)'!P52:S52)</f>
        <v>0</v>
      </c>
      <c r="L52" s="10">
        <f>SUM('P&amp;L(q)'!$T52:W52)</f>
        <v>0</v>
      </c>
      <c r="M52" s="10">
        <f>SUM('P&amp;L(q)'!$X52:AA52)</f>
        <v>0</v>
      </c>
      <c r="N52" s="10">
        <f>SUM('P&amp;L(q)'!$AB52:AE52)</f>
        <v>0</v>
      </c>
      <c r="O52" s="10">
        <f>SUM('P&amp;L(q)'!$AF52:AI52)</f>
        <v>0</v>
      </c>
      <c r="P52" s="10">
        <f>SUM('P&amp;L(q)'!$AJ52:AM52)</f>
        <v>0</v>
      </c>
      <c r="Q52" s="10">
        <f>SUM('P&amp;L(q)'!$AN52:AN52)</f>
        <v>0</v>
      </c>
      <c r="S52" s="157"/>
      <c r="T52" s="155"/>
    </row>
    <row r="53" spans="2:21" ht="12" customHeight="1" x14ac:dyDescent="0.2">
      <c r="B53" s="18"/>
      <c r="C53" s="19" t="s">
        <v>18</v>
      </c>
      <c r="D53" s="9"/>
      <c r="E53" s="9"/>
      <c r="F53" s="9"/>
      <c r="G53" s="9"/>
      <c r="H53" s="8"/>
      <c r="I53" s="9">
        <f>SUM('_P&amp;L(g) (old)'!H52:K52)</f>
        <v>-2803</v>
      </c>
      <c r="J53" s="9">
        <f>SUM('_P&amp;L(g) (old)'!L52:O52)</f>
        <v>2023</v>
      </c>
      <c r="K53" s="10">
        <f>SUM('P&amp;L(q)'!P53:S53)</f>
        <v>-8095</v>
      </c>
      <c r="L53" s="10">
        <f>SUM('P&amp;L(q)'!$T53:W53)</f>
        <v>2745.0000000000005</v>
      </c>
      <c r="M53" s="10">
        <f>SUM('P&amp;L(q)'!$X53:AA53)</f>
        <v>1132</v>
      </c>
      <c r="N53" s="10">
        <f>SUM('P&amp;L(q)'!$AB53:AE53)</f>
        <v>3301</v>
      </c>
      <c r="O53" s="10">
        <f>SUM('P&amp;L(q)'!$AF53:AI53)</f>
        <v>-1256</v>
      </c>
      <c r="P53" s="10">
        <f>SUM('P&amp;L(q)'!$AJ53:AM53)</f>
        <v>-1313</v>
      </c>
      <c r="Q53" s="10">
        <f>SUM('P&amp;L(q)'!$AN53:AN53)</f>
        <v>1146</v>
      </c>
      <c r="S53" s="157"/>
      <c r="T53" s="155"/>
    </row>
    <row r="54" spans="2:21" ht="12" customHeight="1" x14ac:dyDescent="0.2">
      <c r="B54" s="18"/>
      <c r="C54" s="19" t="s">
        <v>30</v>
      </c>
      <c r="D54" s="9"/>
      <c r="E54" s="9"/>
      <c r="F54" s="9"/>
      <c r="G54" s="9"/>
      <c r="H54" s="8"/>
      <c r="I54" s="9">
        <f>SUM('_P&amp;L(g) (old)'!H53:K53)</f>
        <v>0</v>
      </c>
      <c r="J54" s="9">
        <f>SUM('_P&amp;L(g) (old)'!L53:O53)</f>
        <v>0</v>
      </c>
      <c r="K54" s="10">
        <f>SUM('P&amp;L(q)'!P54:S54)</f>
        <v>0</v>
      </c>
      <c r="L54" s="10">
        <f>SUM('P&amp;L(q)'!$T54:W54)</f>
        <v>0</v>
      </c>
      <c r="M54" s="10">
        <f>SUM('P&amp;L(q)'!$X54:AA54)</f>
        <v>0</v>
      </c>
      <c r="N54" s="10">
        <f>SUM('P&amp;L(q)'!$AB54:AE54)</f>
        <v>0</v>
      </c>
      <c r="O54" s="10">
        <f>SUM('P&amp;L(q)'!$AF54:AI54)</f>
        <v>0</v>
      </c>
      <c r="P54" s="10">
        <f>SUM('P&amp;L(q)'!$AJ54:AM54)</f>
        <v>0</v>
      </c>
      <c r="Q54" s="10">
        <f>SUM('P&amp;L(q)'!$AN54:AN54)</f>
        <v>0</v>
      </c>
      <c r="S54" s="157"/>
      <c r="T54" s="155"/>
    </row>
    <row r="55" spans="2:21" ht="12" customHeight="1" x14ac:dyDescent="0.2">
      <c r="B55" s="18"/>
      <c r="C55" s="19" t="s">
        <v>41</v>
      </c>
      <c r="D55" s="7"/>
      <c r="E55" s="7"/>
      <c r="F55" s="7"/>
      <c r="G55" s="7"/>
      <c r="H55" s="8"/>
      <c r="I55" s="7"/>
      <c r="J55" s="7"/>
      <c r="K55" s="7">
        <f>SUM('P&amp;L(q)'!P55:S55)</f>
        <v>0</v>
      </c>
      <c r="L55" s="7">
        <f>SUM('P&amp;L(q)'!$T55:W55)</f>
        <v>0</v>
      </c>
      <c r="M55" s="7">
        <f>SUM('P&amp;L(q)'!$X55:AA55)</f>
        <v>0</v>
      </c>
      <c r="N55" s="7">
        <f>SUM('P&amp;L(q)'!$AB55:AE55)</f>
        <v>0</v>
      </c>
      <c r="O55" s="7">
        <f>SUM('P&amp;L(q)'!$AF55:AI55)</f>
        <v>0</v>
      </c>
      <c r="P55" s="7">
        <f>SUM('P&amp;L(q)'!$AJ55:AM55)</f>
        <v>0</v>
      </c>
      <c r="Q55" s="7">
        <f>SUM('P&amp;L(q)'!$AN55:AN55)</f>
        <v>0</v>
      </c>
      <c r="S55" s="157"/>
      <c r="T55" s="155"/>
    </row>
    <row r="56" spans="2:21" ht="12" customHeight="1" x14ac:dyDescent="0.2">
      <c r="B56" s="18"/>
      <c r="C56" s="19" t="s">
        <v>42</v>
      </c>
      <c r="D56" s="9"/>
      <c r="E56" s="9"/>
      <c r="F56" s="9"/>
      <c r="G56" s="9"/>
      <c r="H56" s="8"/>
      <c r="I56" s="9">
        <f>SUM('_P&amp;L(g) (old)'!H55:K55)</f>
        <v>-467</v>
      </c>
      <c r="J56" s="9">
        <f>SUM('_P&amp;L(g) (old)'!L55:O55)</f>
        <v>-76</v>
      </c>
      <c r="K56" s="10">
        <f>SUM('P&amp;L(q)'!P56:S56)</f>
        <v>17</v>
      </c>
      <c r="L56" s="10">
        <f>SUM('P&amp;L(q)'!$T56:W56)</f>
        <v>167</v>
      </c>
      <c r="M56" s="10">
        <f>SUM('P&amp;L(q)'!$X56:AA56)</f>
        <v>1233</v>
      </c>
      <c r="N56" s="10">
        <f>SUM('P&amp;L(q)'!$AB56:AE56)</f>
        <v>-253</v>
      </c>
      <c r="O56" s="10">
        <f>SUM('P&amp;L(q)'!$AF56:AI56)</f>
        <v>-287</v>
      </c>
      <c r="P56" s="10">
        <f>SUM('P&amp;L(q)'!$AJ56:AM56)</f>
        <v>-289</v>
      </c>
      <c r="Q56" s="10">
        <f>SUM('P&amp;L(q)'!$AN56:AN56)</f>
        <v>0</v>
      </c>
      <c r="S56" s="157"/>
      <c r="T56" s="155"/>
    </row>
    <row r="57" spans="2:21" ht="12" customHeight="1" x14ac:dyDescent="0.2">
      <c r="B57" s="18"/>
      <c r="C57" s="19" t="s">
        <v>31</v>
      </c>
      <c r="D57" s="9"/>
      <c r="E57" s="9"/>
      <c r="F57" s="9"/>
      <c r="G57" s="9"/>
      <c r="H57" s="8"/>
      <c r="I57" s="9">
        <f>SUM('_P&amp;L(g) (old)'!H56:K56)</f>
        <v>0</v>
      </c>
      <c r="J57" s="9">
        <f>SUM('_P&amp;L(g) (old)'!L56:O56)</f>
        <v>0</v>
      </c>
      <c r="K57" s="10">
        <f>SUM('P&amp;L(q)'!P57:S57)</f>
        <v>0</v>
      </c>
      <c r="L57" s="10">
        <f>SUM('P&amp;L(q)'!$T57:W57)</f>
        <v>0</v>
      </c>
      <c r="M57" s="10">
        <f>SUM('P&amp;L(q)'!$X57:AA57)</f>
        <v>0</v>
      </c>
      <c r="N57" s="10">
        <f>SUM('P&amp;L(q)'!$AB57:AE57)</f>
        <v>0</v>
      </c>
      <c r="O57" s="10">
        <f>SUM('P&amp;L(q)'!$AF57:AI57)</f>
        <v>0</v>
      </c>
      <c r="P57" s="10">
        <f>SUM('P&amp;L(q)'!$AJ57:AM57)</f>
        <v>0</v>
      </c>
      <c r="Q57" s="10">
        <f>SUM('P&amp;L(q)'!$AN57:AN57)</f>
        <v>0</v>
      </c>
      <c r="S57" s="157"/>
      <c r="T57" s="155"/>
    </row>
    <row r="58" spans="2:21" ht="12" customHeight="1" x14ac:dyDescent="0.2">
      <c r="B58" s="18"/>
      <c r="C58" s="19" t="s">
        <v>32</v>
      </c>
      <c r="D58" s="9"/>
      <c r="E58" s="9"/>
      <c r="F58" s="9"/>
      <c r="G58" s="9"/>
      <c r="H58" s="8"/>
      <c r="I58" s="9">
        <f>SUM('_P&amp;L(g) (old)'!H57:K57)</f>
        <v>0</v>
      </c>
      <c r="J58" s="9">
        <f>SUM('_P&amp;L(g) (old)'!L57:O57)</f>
        <v>0</v>
      </c>
      <c r="K58" s="10">
        <f>SUM('P&amp;L(q)'!P58:S58)</f>
        <v>0</v>
      </c>
      <c r="L58" s="10">
        <f>SUM('P&amp;L(q)'!$T58:W58)</f>
        <v>0</v>
      </c>
      <c r="M58" s="10">
        <f>SUM('P&amp;L(q)'!$X58:AA58)</f>
        <v>0</v>
      </c>
      <c r="N58" s="10">
        <f>SUM('P&amp;L(q)'!$AB58:AE58)</f>
        <v>0</v>
      </c>
      <c r="O58" s="10">
        <f>SUM('P&amp;L(q)'!$AF58:AI58)</f>
        <v>0</v>
      </c>
      <c r="P58" s="10">
        <f>SUM('P&amp;L(q)'!$AJ58:AM58)</f>
        <v>0</v>
      </c>
      <c r="Q58" s="10">
        <f>SUM('P&amp;L(q)'!$AN58:AN58)</f>
        <v>0</v>
      </c>
      <c r="S58" s="157"/>
      <c r="T58" s="155"/>
    </row>
    <row r="59" spans="2:21" ht="12" customHeight="1" x14ac:dyDescent="0.2">
      <c r="B59" s="173" t="s">
        <v>19</v>
      </c>
      <c r="C59" s="173"/>
      <c r="D59" s="44"/>
      <c r="E59" s="44"/>
      <c r="F59" s="44"/>
      <c r="G59" s="44"/>
      <c r="H59" s="8"/>
      <c r="I59" s="44">
        <f t="shared" ref="I59:K59" si="44">I38+I49</f>
        <v>68739</v>
      </c>
      <c r="J59" s="44">
        <f t="shared" si="44"/>
        <v>58776</v>
      </c>
      <c r="K59" s="44">
        <f t="shared" si="44"/>
        <v>59593</v>
      </c>
      <c r="L59" s="44">
        <f t="shared" ref="L59:M59" si="45">L38+L49</f>
        <v>69209</v>
      </c>
      <c r="M59" s="44">
        <f t="shared" si="45"/>
        <v>11972</v>
      </c>
      <c r="N59" s="44">
        <f t="shared" ref="N59:O59" si="46">N38+N49</f>
        <v>14391</v>
      </c>
      <c r="O59" s="44">
        <f t="shared" si="46"/>
        <v>70953</v>
      </c>
      <c r="P59" s="44">
        <f t="shared" ref="P59:Q59" si="47">P38+P49</f>
        <v>77375</v>
      </c>
      <c r="Q59" s="44">
        <f t="shared" si="47"/>
        <v>21613</v>
      </c>
      <c r="S59" s="157"/>
      <c r="T59" s="155"/>
    </row>
    <row r="60" spans="2:21" ht="12" customHeight="1" x14ac:dyDescent="0.2">
      <c r="B60" s="173" t="s">
        <v>20</v>
      </c>
      <c r="C60" s="173"/>
      <c r="D60" s="44"/>
      <c r="E60" s="44"/>
      <c r="F60" s="44"/>
      <c r="G60" s="44"/>
      <c r="H60" s="8"/>
      <c r="I60" s="44">
        <f t="shared" ref="I60:K60" si="48">SUM(I61:I62)</f>
        <v>70405</v>
      </c>
      <c r="J60" s="44">
        <f t="shared" si="48"/>
        <v>55287</v>
      </c>
      <c r="K60" s="44">
        <f t="shared" si="48"/>
        <v>62237</v>
      </c>
      <c r="L60" s="44">
        <f t="shared" ref="L60:M60" si="49">SUM(L61:L62)</f>
        <v>63336</v>
      </c>
      <c r="M60" s="44">
        <f t="shared" si="49"/>
        <v>7205</v>
      </c>
      <c r="N60" s="44">
        <f t="shared" ref="N60:O60" si="50">SUM(N61:N62)</f>
        <v>8504</v>
      </c>
      <c r="O60" s="44">
        <f t="shared" si="50"/>
        <v>73214</v>
      </c>
      <c r="P60" s="44">
        <f t="shared" ref="P60:Q60" si="51">SUM(P61:P62)</f>
        <v>79171</v>
      </c>
      <c r="Q60" s="44">
        <f t="shared" si="51"/>
        <v>20086</v>
      </c>
    </row>
    <row r="61" spans="2:21" ht="12" customHeight="1" x14ac:dyDescent="0.2">
      <c r="B61" s="18"/>
      <c r="C61" s="19" t="s">
        <v>43</v>
      </c>
      <c r="D61" s="9"/>
      <c r="E61" s="9"/>
      <c r="F61" s="9"/>
      <c r="G61" s="9"/>
      <c r="H61" s="8"/>
      <c r="I61" s="9">
        <f>SUM('_P&amp;L(g) (old)'!H60:K60)</f>
        <v>67788</v>
      </c>
      <c r="J61" s="9">
        <f>SUM('_P&amp;L(g) (old)'!L60:O60)</f>
        <v>53410</v>
      </c>
      <c r="K61" s="10">
        <f>SUM('P&amp;L(q)'!P61:S61)</f>
        <v>60234</v>
      </c>
      <c r="L61" s="10">
        <f>SUM('P&amp;L(q)'!$T61:W61)</f>
        <v>62201</v>
      </c>
      <c r="M61" s="10">
        <f>SUM('P&amp;L(q)'!$X61:AA61)</f>
        <v>6616</v>
      </c>
      <c r="N61" s="10">
        <f>SUM('P&amp;L(q)'!$AB61:AE61)</f>
        <v>8138</v>
      </c>
      <c r="O61" s="10">
        <f>SUM('P&amp;L(q)'!$AF61:AI61)</f>
        <v>73060</v>
      </c>
      <c r="P61" s="10">
        <f>SUM('P&amp;L(q)'!$AJ61:AM61)</f>
        <v>79085</v>
      </c>
      <c r="Q61" s="10">
        <f>SUM('P&amp;L(q)'!$AN61:AN61)</f>
        <v>19964</v>
      </c>
      <c r="T61" s="3"/>
      <c r="U61" s="3"/>
    </row>
    <row r="62" spans="2:21" ht="12" customHeight="1" x14ac:dyDescent="0.2">
      <c r="B62" s="18"/>
      <c r="C62" s="19" t="s">
        <v>44</v>
      </c>
      <c r="D62" s="9"/>
      <c r="E62" s="9"/>
      <c r="F62" s="9"/>
      <c r="G62" s="9"/>
      <c r="H62" s="8"/>
      <c r="I62" s="9">
        <f>SUM('_P&amp;L(g) (old)'!H61:K61)</f>
        <v>2617</v>
      </c>
      <c r="J62" s="9">
        <f>SUM('_P&amp;L(g) (old)'!L61:O61)</f>
        <v>1877</v>
      </c>
      <c r="K62" s="10">
        <f>SUM('P&amp;L(q)'!P62:S62)</f>
        <v>2003</v>
      </c>
      <c r="L62" s="10">
        <f>SUM('P&amp;L(q)'!$T62:W62)</f>
        <v>1135</v>
      </c>
      <c r="M62" s="10">
        <f>SUM('P&amp;L(q)'!$X62:AA62)</f>
        <v>589</v>
      </c>
      <c r="N62" s="10">
        <f>SUM('P&amp;L(q)'!$AB62:AE62)</f>
        <v>366</v>
      </c>
      <c r="O62" s="10">
        <f>SUM('P&amp;L(q)'!$AF62:AI62)</f>
        <v>154</v>
      </c>
      <c r="P62" s="10">
        <f>SUM('P&amp;L(q)'!$AJ62:AM62)</f>
        <v>86</v>
      </c>
      <c r="Q62" s="10">
        <f>SUM('P&amp;L(q)'!$AN62:AN62)</f>
        <v>122</v>
      </c>
    </row>
    <row r="63" spans="2:21" ht="12" customHeight="1" x14ac:dyDescent="0.2">
      <c r="B63" s="173" t="s">
        <v>21</v>
      </c>
      <c r="C63" s="173"/>
      <c r="D63" s="44"/>
      <c r="E63" s="44"/>
      <c r="F63" s="44"/>
      <c r="G63" s="44"/>
      <c r="H63" s="8"/>
      <c r="I63" s="44">
        <f t="shared" ref="I63:L63" si="52">SUM(I64:I65)</f>
        <v>68739</v>
      </c>
      <c r="J63" s="44">
        <f t="shared" si="52"/>
        <v>58776</v>
      </c>
      <c r="K63" s="44">
        <f t="shared" si="52"/>
        <v>59593</v>
      </c>
      <c r="L63" s="44">
        <f t="shared" si="52"/>
        <v>69209</v>
      </c>
      <c r="M63" s="44">
        <f t="shared" ref="M63:O63" si="53">SUM(M64:M65)</f>
        <v>11972</v>
      </c>
      <c r="N63" s="44">
        <f t="shared" si="53"/>
        <v>14391</v>
      </c>
      <c r="O63" s="44">
        <f t="shared" si="53"/>
        <v>70953</v>
      </c>
      <c r="P63" s="44">
        <f t="shared" ref="P63:Q63" si="54">SUM(P64:P65)</f>
        <v>77375</v>
      </c>
      <c r="Q63" s="44">
        <f t="shared" si="54"/>
        <v>21613</v>
      </c>
    </row>
    <row r="64" spans="2:21" ht="12" customHeight="1" x14ac:dyDescent="0.2">
      <c r="B64" s="18"/>
      <c r="C64" s="19" t="s">
        <v>43</v>
      </c>
      <c r="D64" s="9"/>
      <c r="E64" s="9"/>
      <c r="F64" s="9"/>
      <c r="G64" s="9"/>
      <c r="H64" s="8"/>
      <c r="I64" s="9">
        <f>SUM('_P&amp;L(g) (old)'!H63:K63)</f>
        <v>66090</v>
      </c>
      <c r="J64" s="9">
        <f>SUM('_P&amp;L(g) (old)'!L63:O63)</f>
        <v>56932</v>
      </c>
      <c r="K64" s="10">
        <f>SUM('P&amp;L(q)'!P64:S64)</f>
        <v>57590</v>
      </c>
      <c r="L64" s="10">
        <f>SUM('P&amp;L(q)'!$T64:W64)</f>
        <v>68074</v>
      </c>
      <c r="M64" s="10">
        <f>SUM('P&amp;L(q)'!$X64:AA64)</f>
        <v>11383</v>
      </c>
      <c r="N64" s="10">
        <f>SUM('P&amp;L(q)'!$AB64:AE64)</f>
        <v>14025</v>
      </c>
      <c r="O64" s="10">
        <f>SUM('P&amp;L(q)'!$AF64:AI64)</f>
        <v>70799</v>
      </c>
      <c r="P64" s="10">
        <f>SUM('P&amp;L(q)'!$AJ64:AM64)</f>
        <v>77289</v>
      </c>
      <c r="Q64" s="10">
        <f>SUM('P&amp;L(q)'!$AN64:AN64)</f>
        <v>21491</v>
      </c>
    </row>
    <row r="65" spans="2:29" ht="12" customHeight="1" x14ac:dyDescent="0.2">
      <c r="B65" s="18"/>
      <c r="C65" s="19" t="s">
        <v>44</v>
      </c>
      <c r="D65" s="9"/>
      <c r="E65" s="9"/>
      <c r="F65" s="9"/>
      <c r="G65" s="9"/>
      <c r="H65" s="8"/>
      <c r="I65" s="9">
        <f>SUM('_P&amp;L(g) (old)'!H64:K64)</f>
        <v>2649</v>
      </c>
      <c r="J65" s="9">
        <f>SUM('_P&amp;L(g) (old)'!L64:O64)</f>
        <v>1844</v>
      </c>
      <c r="K65" s="10">
        <f>SUM('P&amp;L(q)'!P65:S65)</f>
        <v>2003</v>
      </c>
      <c r="L65" s="10">
        <f>SUM('P&amp;L(q)'!$T65:W65)</f>
        <v>1135</v>
      </c>
      <c r="M65" s="10">
        <f>SUM('P&amp;L(q)'!$X65:AA65)</f>
        <v>589</v>
      </c>
      <c r="N65" s="10">
        <f>SUM('P&amp;L(q)'!$AB65:AE65)</f>
        <v>366</v>
      </c>
      <c r="O65" s="10">
        <f>SUM('P&amp;L(q)'!$AF65:AI65)</f>
        <v>154</v>
      </c>
      <c r="P65" s="10">
        <f>SUM('P&amp;L(q)'!$AJ65:AM65)</f>
        <v>86</v>
      </c>
      <c r="Q65" s="10">
        <f>SUM('P&amp;L(q)'!$AN65:AN65)</f>
        <v>122</v>
      </c>
    </row>
    <row r="66" spans="2:29" ht="12" customHeight="1" x14ac:dyDescent="0.2">
      <c r="B66" s="1"/>
      <c r="C66" s="2"/>
      <c r="H66" s="8"/>
    </row>
    <row r="67" spans="2:29" ht="12" customHeight="1" x14ac:dyDescent="0.2">
      <c r="B67" s="1"/>
      <c r="C67" s="2"/>
      <c r="H67" s="8"/>
    </row>
    <row r="68" spans="2:29" ht="12" customHeight="1" x14ac:dyDescent="0.2">
      <c r="C68" s="3"/>
    </row>
    <row r="69" spans="2:29" ht="12" customHeight="1" x14ac:dyDescent="0.2">
      <c r="C69" s="3"/>
    </row>
    <row r="70" spans="2:29" ht="12" customHeight="1" x14ac:dyDescent="0.2">
      <c r="C70" s="3"/>
      <c r="U70" s="3"/>
    </row>
    <row r="71" spans="2:29" ht="12" customHeight="1" x14ac:dyDescent="0.2">
      <c r="C71" s="3"/>
    </row>
    <row r="72" spans="2:29" ht="12" customHeight="1" x14ac:dyDescent="0.2">
      <c r="C72" s="3"/>
    </row>
    <row r="75" spans="2:29" ht="12" hidden="1" customHeight="1" outlineLevel="1" x14ac:dyDescent="0.2">
      <c r="C75" s="16" t="s">
        <v>268</v>
      </c>
    </row>
    <row r="76" spans="2:29" s="106" customFormat="1" ht="12" hidden="1" customHeight="1" outlineLevel="1" x14ac:dyDescent="0.2">
      <c r="C76" s="2" t="s">
        <v>263</v>
      </c>
      <c r="S76" s="158"/>
      <c r="X76" s="157"/>
      <c r="Y76" s="3"/>
      <c r="Z76" s="3"/>
      <c r="AA76" s="3"/>
      <c r="AB76" s="3"/>
      <c r="AC76" s="3"/>
    </row>
    <row r="77" spans="2:29" ht="12" hidden="1" customHeight="1" outlineLevel="1" x14ac:dyDescent="0.2"/>
    <row r="78" spans="2:29" ht="12" hidden="1" customHeight="1" outlineLevel="1" x14ac:dyDescent="0.2">
      <c r="C78" s="16" t="s">
        <v>269</v>
      </c>
      <c r="I78" s="3">
        <f>'P&amp;L(q)'!K75</f>
        <v>29450307.846575346</v>
      </c>
      <c r="J78" s="3">
        <f>'P&amp;L(q)'!O75</f>
        <v>29253721.175342459</v>
      </c>
      <c r="K78" s="3">
        <f>'P&amp;L(q)'!S75</f>
        <v>29204906.961748611</v>
      </c>
      <c r="L78" s="3">
        <f>'P&amp;L(q)'!W75</f>
        <v>29178619.232876718</v>
      </c>
      <c r="M78" s="3">
        <f>'P&amp;L(q)'!AA75</f>
        <v>29070559.39178082</v>
      </c>
      <c r="N78" s="3">
        <f>'P&amp;L(q)'!AE75</f>
        <v>29047073</v>
      </c>
      <c r="O78" s="3">
        <f>'P&amp;L(q)'!AI75</f>
        <v>29047073</v>
      </c>
      <c r="P78" s="3">
        <f>'P&amp;L(q)'!AM75</f>
        <v>29037898.509589061</v>
      </c>
      <c r="Q78" s="3">
        <v>29011808.27777778</v>
      </c>
    </row>
    <row r="79" spans="2:29" ht="12" customHeight="1" collapsed="1" x14ac:dyDescent="0.2"/>
  </sheetData>
  <mergeCells count="26">
    <mergeCell ref="B37:C37"/>
    <mergeCell ref="B21:C21"/>
    <mergeCell ref="B24:C24"/>
    <mergeCell ref="B19:C19"/>
    <mergeCell ref="B7:C8"/>
    <mergeCell ref="B9:C9"/>
    <mergeCell ref="B10:C10"/>
    <mergeCell ref="B13:C13"/>
    <mergeCell ref="B16:C16"/>
    <mergeCell ref="B20:C20"/>
    <mergeCell ref="I7:Q7"/>
    <mergeCell ref="B60:C60"/>
    <mergeCell ref="B63:C63"/>
    <mergeCell ref="B48:C48"/>
    <mergeCell ref="B25:C25"/>
    <mergeCell ref="B26:C26"/>
    <mergeCell ref="B27:C27"/>
    <mergeCell ref="B49:C49"/>
    <mergeCell ref="B59:C59"/>
    <mergeCell ref="B38:C38"/>
    <mergeCell ref="B40:C40"/>
    <mergeCell ref="B42:C42"/>
    <mergeCell ref="B30:C30"/>
    <mergeCell ref="B31:C31"/>
    <mergeCell ref="B34:C34"/>
    <mergeCell ref="B35:C35"/>
  </mergeCells>
  <pageMargins left="0.78740157480314965" right="0.78740157480314965" top="0.78740157480314965" bottom="1.1811023622047245" header="0.51181102362204722" footer="0.98425196850393704"/>
  <pageSetup paperSize="9" scale="76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1884-C8D4-4A99-B48F-07614DF87939}">
  <sheetPr>
    <tabColor theme="4" tint="0.59999389629810485"/>
    <pageSetUpPr fitToPage="1"/>
  </sheetPr>
  <dimension ref="B1:BC108"/>
  <sheetViews>
    <sheetView showGridLines="0" zoomScaleNormal="100" zoomScaleSheetLayoutView="100" workbookViewId="0">
      <pane xSplit="3" ySplit="9" topLeftCell="AN10" activePane="bottomRight" state="frozen"/>
      <selection pane="topRight"/>
      <selection pane="bottomLeft"/>
      <selection pane="bottomRight" activeCell="AQ16" sqref="AQ16"/>
    </sheetView>
  </sheetViews>
  <sheetFormatPr defaultRowHeight="12" customHeight="1" x14ac:dyDescent="0.2"/>
  <cols>
    <col min="1" max="1" width="1.140625" style="29" customWidth="1"/>
    <col min="2" max="2" width="2.5703125" style="29" customWidth="1"/>
    <col min="3" max="3" width="63.5703125" style="29" customWidth="1"/>
    <col min="4" max="46" width="9.28515625" style="29" customWidth="1"/>
    <col min="47" max="47" width="8.85546875" style="146" customWidth="1"/>
    <col min="48" max="48" width="9.140625" style="29" customWidth="1"/>
    <col min="49" max="49" width="27.42578125" style="29" customWidth="1"/>
    <col min="50" max="50" width="25.5703125" style="29" customWidth="1"/>
    <col min="51" max="51" width="23" style="146" customWidth="1"/>
    <col min="52" max="278" width="9.140625" style="29"/>
    <col min="279" max="279" width="2.5703125" style="29" customWidth="1"/>
    <col min="280" max="280" width="60.7109375" style="29" customWidth="1"/>
    <col min="281" max="281" width="10.7109375" style="29" customWidth="1"/>
    <col min="282" max="283" width="15.7109375" style="29" customWidth="1"/>
    <col min="284" max="284" width="9.28515625" style="29" bestFit="1" customWidth="1"/>
    <col min="285" max="295" width="14.7109375" style="29" customWidth="1"/>
    <col min="296" max="534" width="9.140625" style="29"/>
    <col min="535" max="535" width="2.5703125" style="29" customWidth="1"/>
    <col min="536" max="536" width="60.7109375" style="29" customWidth="1"/>
    <col min="537" max="537" width="10.7109375" style="29" customWidth="1"/>
    <col min="538" max="539" width="15.7109375" style="29" customWidth="1"/>
    <col min="540" max="540" width="9.28515625" style="29" bestFit="1" customWidth="1"/>
    <col min="541" max="551" width="14.7109375" style="29" customWidth="1"/>
    <col min="552" max="790" width="9.140625" style="29"/>
    <col min="791" max="791" width="2.5703125" style="29" customWidth="1"/>
    <col min="792" max="792" width="60.7109375" style="29" customWidth="1"/>
    <col min="793" max="793" width="10.7109375" style="29" customWidth="1"/>
    <col min="794" max="795" width="15.7109375" style="29" customWidth="1"/>
    <col min="796" max="796" width="9.28515625" style="29" bestFit="1" customWidth="1"/>
    <col min="797" max="807" width="14.7109375" style="29" customWidth="1"/>
    <col min="808" max="1046" width="9.140625" style="29"/>
    <col min="1047" max="1047" width="2.5703125" style="29" customWidth="1"/>
    <col min="1048" max="1048" width="60.7109375" style="29" customWidth="1"/>
    <col min="1049" max="1049" width="10.7109375" style="29" customWidth="1"/>
    <col min="1050" max="1051" width="15.7109375" style="29" customWidth="1"/>
    <col min="1052" max="1052" width="9.28515625" style="29" bestFit="1" customWidth="1"/>
    <col min="1053" max="1063" width="14.7109375" style="29" customWidth="1"/>
    <col min="1064" max="1302" width="9.140625" style="29"/>
    <col min="1303" max="1303" width="2.5703125" style="29" customWidth="1"/>
    <col min="1304" max="1304" width="60.7109375" style="29" customWidth="1"/>
    <col min="1305" max="1305" width="10.7109375" style="29" customWidth="1"/>
    <col min="1306" max="1307" width="15.7109375" style="29" customWidth="1"/>
    <col min="1308" max="1308" width="9.28515625" style="29" bestFit="1" customWidth="1"/>
    <col min="1309" max="1319" width="14.7109375" style="29" customWidth="1"/>
    <col min="1320" max="1558" width="9.140625" style="29"/>
    <col min="1559" max="1559" width="2.5703125" style="29" customWidth="1"/>
    <col min="1560" max="1560" width="60.7109375" style="29" customWidth="1"/>
    <col min="1561" max="1561" width="10.7109375" style="29" customWidth="1"/>
    <col min="1562" max="1563" width="15.7109375" style="29" customWidth="1"/>
    <col min="1564" max="1564" width="9.28515625" style="29" bestFit="1" customWidth="1"/>
    <col min="1565" max="1575" width="14.7109375" style="29" customWidth="1"/>
    <col min="1576" max="1814" width="9.140625" style="29"/>
    <col min="1815" max="1815" width="2.5703125" style="29" customWidth="1"/>
    <col min="1816" max="1816" width="60.7109375" style="29" customWidth="1"/>
    <col min="1817" max="1817" width="10.7109375" style="29" customWidth="1"/>
    <col min="1818" max="1819" width="15.7109375" style="29" customWidth="1"/>
    <col min="1820" max="1820" width="9.28515625" style="29" bestFit="1" customWidth="1"/>
    <col min="1821" max="1831" width="14.7109375" style="29" customWidth="1"/>
    <col min="1832" max="2070" width="9.140625" style="29"/>
    <col min="2071" max="2071" width="2.5703125" style="29" customWidth="1"/>
    <col min="2072" max="2072" width="60.7109375" style="29" customWidth="1"/>
    <col min="2073" max="2073" width="10.7109375" style="29" customWidth="1"/>
    <col min="2074" max="2075" width="15.7109375" style="29" customWidth="1"/>
    <col min="2076" max="2076" width="9.28515625" style="29" bestFit="1" customWidth="1"/>
    <col min="2077" max="2087" width="14.7109375" style="29" customWidth="1"/>
    <col min="2088" max="2326" width="9.140625" style="29"/>
    <col min="2327" max="2327" width="2.5703125" style="29" customWidth="1"/>
    <col min="2328" max="2328" width="60.7109375" style="29" customWidth="1"/>
    <col min="2329" max="2329" width="10.7109375" style="29" customWidth="1"/>
    <col min="2330" max="2331" width="15.7109375" style="29" customWidth="1"/>
    <col min="2332" max="2332" width="9.28515625" style="29" bestFit="1" customWidth="1"/>
    <col min="2333" max="2343" width="14.7109375" style="29" customWidth="1"/>
    <col min="2344" max="2582" width="9.140625" style="29"/>
    <col min="2583" max="2583" width="2.5703125" style="29" customWidth="1"/>
    <col min="2584" max="2584" width="60.7109375" style="29" customWidth="1"/>
    <col min="2585" max="2585" width="10.7109375" style="29" customWidth="1"/>
    <col min="2586" max="2587" width="15.7109375" style="29" customWidth="1"/>
    <col min="2588" max="2588" width="9.28515625" style="29" bestFit="1" customWidth="1"/>
    <col min="2589" max="2599" width="14.7109375" style="29" customWidth="1"/>
    <col min="2600" max="2838" width="9.140625" style="29"/>
    <col min="2839" max="2839" width="2.5703125" style="29" customWidth="1"/>
    <col min="2840" max="2840" width="60.7109375" style="29" customWidth="1"/>
    <col min="2841" max="2841" width="10.7109375" style="29" customWidth="1"/>
    <col min="2842" max="2843" width="15.7109375" style="29" customWidth="1"/>
    <col min="2844" max="2844" width="9.28515625" style="29" bestFit="1" customWidth="1"/>
    <col min="2845" max="2855" width="14.7109375" style="29" customWidth="1"/>
    <col min="2856" max="3094" width="9.140625" style="29"/>
    <col min="3095" max="3095" width="2.5703125" style="29" customWidth="1"/>
    <col min="3096" max="3096" width="60.7109375" style="29" customWidth="1"/>
    <col min="3097" max="3097" width="10.7109375" style="29" customWidth="1"/>
    <col min="3098" max="3099" width="15.7109375" style="29" customWidth="1"/>
    <col min="3100" max="3100" width="9.28515625" style="29" bestFit="1" customWidth="1"/>
    <col min="3101" max="3111" width="14.7109375" style="29" customWidth="1"/>
    <col min="3112" max="3350" width="9.140625" style="29"/>
    <col min="3351" max="3351" width="2.5703125" style="29" customWidth="1"/>
    <col min="3352" max="3352" width="60.7109375" style="29" customWidth="1"/>
    <col min="3353" max="3353" width="10.7109375" style="29" customWidth="1"/>
    <col min="3354" max="3355" width="15.7109375" style="29" customWidth="1"/>
    <col min="3356" max="3356" width="9.28515625" style="29" bestFit="1" customWidth="1"/>
    <col min="3357" max="3367" width="14.7109375" style="29" customWidth="1"/>
    <col min="3368" max="3606" width="9.140625" style="29"/>
    <col min="3607" max="3607" width="2.5703125" style="29" customWidth="1"/>
    <col min="3608" max="3608" width="60.7109375" style="29" customWidth="1"/>
    <col min="3609" max="3609" width="10.7109375" style="29" customWidth="1"/>
    <col min="3610" max="3611" width="15.7109375" style="29" customWidth="1"/>
    <col min="3612" max="3612" width="9.28515625" style="29" bestFit="1" customWidth="1"/>
    <col min="3613" max="3623" width="14.7109375" style="29" customWidth="1"/>
    <col min="3624" max="3862" width="9.140625" style="29"/>
    <col min="3863" max="3863" width="2.5703125" style="29" customWidth="1"/>
    <col min="3864" max="3864" width="60.7109375" style="29" customWidth="1"/>
    <col min="3865" max="3865" width="10.7109375" style="29" customWidth="1"/>
    <col min="3866" max="3867" width="15.7109375" style="29" customWidth="1"/>
    <col min="3868" max="3868" width="9.28515625" style="29" bestFit="1" customWidth="1"/>
    <col min="3869" max="3879" width="14.7109375" style="29" customWidth="1"/>
    <col min="3880" max="4118" width="9.140625" style="29"/>
    <col min="4119" max="4119" width="2.5703125" style="29" customWidth="1"/>
    <col min="4120" max="4120" width="60.7109375" style="29" customWidth="1"/>
    <col min="4121" max="4121" width="10.7109375" style="29" customWidth="1"/>
    <col min="4122" max="4123" width="15.7109375" style="29" customWidth="1"/>
    <col min="4124" max="4124" width="9.28515625" style="29" bestFit="1" customWidth="1"/>
    <col min="4125" max="4135" width="14.7109375" style="29" customWidth="1"/>
    <col min="4136" max="4374" width="9.140625" style="29"/>
    <col min="4375" max="4375" width="2.5703125" style="29" customWidth="1"/>
    <col min="4376" max="4376" width="60.7109375" style="29" customWidth="1"/>
    <col min="4377" max="4377" width="10.7109375" style="29" customWidth="1"/>
    <col min="4378" max="4379" width="15.7109375" style="29" customWidth="1"/>
    <col min="4380" max="4380" width="9.28515625" style="29" bestFit="1" customWidth="1"/>
    <col min="4381" max="4391" width="14.7109375" style="29" customWidth="1"/>
    <col min="4392" max="4630" width="9.140625" style="29"/>
    <col min="4631" max="4631" width="2.5703125" style="29" customWidth="1"/>
    <col min="4632" max="4632" width="60.7109375" style="29" customWidth="1"/>
    <col min="4633" max="4633" width="10.7109375" style="29" customWidth="1"/>
    <col min="4634" max="4635" width="15.7109375" style="29" customWidth="1"/>
    <col min="4636" max="4636" width="9.28515625" style="29" bestFit="1" customWidth="1"/>
    <col min="4637" max="4647" width="14.7109375" style="29" customWidth="1"/>
    <col min="4648" max="4886" width="9.140625" style="29"/>
    <col min="4887" max="4887" width="2.5703125" style="29" customWidth="1"/>
    <col min="4888" max="4888" width="60.7109375" style="29" customWidth="1"/>
    <col min="4889" max="4889" width="10.7109375" style="29" customWidth="1"/>
    <col min="4890" max="4891" width="15.7109375" style="29" customWidth="1"/>
    <col min="4892" max="4892" width="9.28515625" style="29" bestFit="1" customWidth="1"/>
    <col min="4893" max="4903" width="14.7109375" style="29" customWidth="1"/>
    <col min="4904" max="5142" width="9.140625" style="29"/>
    <col min="5143" max="5143" width="2.5703125" style="29" customWidth="1"/>
    <col min="5144" max="5144" width="60.7109375" style="29" customWidth="1"/>
    <col min="5145" max="5145" width="10.7109375" style="29" customWidth="1"/>
    <col min="5146" max="5147" width="15.7109375" style="29" customWidth="1"/>
    <col min="5148" max="5148" width="9.28515625" style="29" bestFit="1" customWidth="1"/>
    <col min="5149" max="5159" width="14.7109375" style="29" customWidth="1"/>
    <col min="5160" max="5398" width="9.140625" style="29"/>
    <col min="5399" max="5399" width="2.5703125" style="29" customWidth="1"/>
    <col min="5400" max="5400" width="60.7109375" style="29" customWidth="1"/>
    <col min="5401" max="5401" width="10.7109375" style="29" customWidth="1"/>
    <col min="5402" max="5403" width="15.7109375" style="29" customWidth="1"/>
    <col min="5404" max="5404" width="9.28515625" style="29" bestFit="1" customWidth="1"/>
    <col min="5405" max="5415" width="14.7109375" style="29" customWidth="1"/>
    <col min="5416" max="5654" width="9.140625" style="29"/>
    <col min="5655" max="5655" width="2.5703125" style="29" customWidth="1"/>
    <col min="5656" max="5656" width="60.7109375" style="29" customWidth="1"/>
    <col min="5657" max="5657" width="10.7109375" style="29" customWidth="1"/>
    <col min="5658" max="5659" width="15.7109375" style="29" customWidth="1"/>
    <col min="5660" max="5660" width="9.28515625" style="29" bestFit="1" customWidth="1"/>
    <col min="5661" max="5671" width="14.7109375" style="29" customWidth="1"/>
    <col min="5672" max="5910" width="9.140625" style="29"/>
    <col min="5911" max="5911" width="2.5703125" style="29" customWidth="1"/>
    <col min="5912" max="5912" width="60.7109375" style="29" customWidth="1"/>
    <col min="5913" max="5913" width="10.7109375" style="29" customWidth="1"/>
    <col min="5914" max="5915" width="15.7109375" style="29" customWidth="1"/>
    <col min="5916" max="5916" width="9.28515625" style="29" bestFit="1" customWidth="1"/>
    <col min="5917" max="5927" width="14.7109375" style="29" customWidth="1"/>
    <col min="5928" max="6166" width="9.140625" style="29"/>
    <col min="6167" max="6167" width="2.5703125" style="29" customWidth="1"/>
    <col min="6168" max="6168" width="60.7109375" style="29" customWidth="1"/>
    <col min="6169" max="6169" width="10.7109375" style="29" customWidth="1"/>
    <col min="6170" max="6171" width="15.7109375" style="29" customWidth="1"/>
    <col min="6172" max="6172" width="9.28515625" style="29" bestFit="1" customWidth="1"/>
    <col min="6173" max="6183" width="14.7109375" style="29" customWidth="1"/>
    <col min="6184" max="6422" width="9.140625" style="29"/>
    <col min="6423" max="6423" width="2.5703125" style="29" customWidth="1"/>
    <col min="6424" max="6424" width="60.7109375" style="29" customWidth="1"/>
    <col min="6425" max="6425" width="10.7109375" style="29" customWidth="1"/>
    <col min="6426" max="6427" width="15.7109375" style="29" customWidth="1"/>
    <col min="6428" max="6428" width="9.28515625" style="29" bestFit="1" customWidth="1"/>
    <col min="6429" max="6439" width="14.7109375" style="29" customWidth="1"/>
    <col min="6440" max="6678" width="9.140625" style="29"/>
    <col min="6679" max="6679" width="2.5703125" style="29" customWidth="1"/>
    <col min="6680" max="6680" width="60.7109375" style="29" customWidth="1"/>
    <col min="6681" max="6681" width="10.7109375" style="29" customWidth="1"/>
    <col min="6682" max="6683" width="15.7109375" style="29" customWidth="1"/>
    <col min="6684" max="6684" width="9.28515625" style="29" bestFit="1" customWidth="1"/>
    <col min="6685" max="6695" width="14.7109375" style="29" customWidth="1"/>
    <col min="6696" max="6934" width="9.140625" style="29"/>
    <col min="6935" max="6935" width="2.5703125" style="29" customWidth="1"/>
    <col min="6936" max="6936" width="60.7109375" style="29" customWidth="1"/>
    <col min="6937" max="6937" width="10.7109375" style="29" customWidth="1"/>
    <col min="6938" max="6939" width="15.7109375" style="29" customWidth="1"/>
    <col min="6940" max="6940" width="9.28515625" style="29" bestFit="1" customWidth="1"/>
    <col min="6941" max="6951" width="14.7109375" style="29" customWidth="1"/>
    <col min="6952" max="7190" width="9.140625" style="29"/>
    <col min="7191" max="7191" width="2.5703125" style="29" customWidth="1"/>
    <col min="7192" max="7192" width="60.7109375" style="29" customWidth="1"/>
    <col min="7193" max="7193" width="10.7109375" style="29" customWidth="1"/>
    <col min="7194" max="7195" width="15.7109375" style="29" customWidth="1"/>
    <col min="7196" max="7196" width="9.28515625" style="29" bestFit="1" customWidth="1"/>
    <col min="7197" max="7207" width="14.7109375" style="29" customWidth="1"/>
    <col min="7208" max="7446" width="9.140625" style="29"/>
    <col min="7447" max="7447" width="2.5703125" style="29" customWidth="1"/>
    <col min="7448" max="7448" width="60.7109375" style="29" customWidth="1"/>
    <col min="7449" max="7449" width="10.7109375" style="29" customWidth="1"/>
    <col min="7450" max="7451" width="15.7109375" style="29" customWidth="1"/>
    <col min="7452" max="7452" width="9.28515625" style="29" bestFit="1" customWidth="1"/>
    <col min="7453" max="7463" width="14.7109375" style="29" customWidth="1"/>
    <col min="7464" max="7702" width="9.140625" style="29"/>
    <col min="7703" max="7703" width="2.5703125" style="29" customWidth="1"/>
    <col min="7704" max="7704" width="60.7109375" style="29" customWidth="1"/>
    <col min="7705" max="7705" width="10.7109375" style="29" customWidth="1"/>
    <col min="7706" max="7707" width="15.7109375" style="29" customWidth="1"/>
    <col min="7708" max="7708" width="9.28515625" style="29" bestFit="1" customWidth="1"/>
    <col min="7709" max="7719" width="14.7109375" style="29" customWidth="1"/>
    <col min="7720" max="7958" width="9.140625" style="29"/>
    <col min="7959" max="7959" width="2.5703125" style="29" customWidth="1"/>
    <col min="7960" max="7960" width="60.7109375" style="29" customWidth="1"/>
    <col min="7961" max="7961" width="10.7109375" style="29" customWidth="1"/>
    <col min="7962" max="7963" width="15.7109375" style="29" customWidth="1"/>
    <col min="7964" max="7964" width="9.28515625" style="29" bestFit="1" customWidth="1"/>
    <col min="7965" max="7975" width="14.7109375" style="29" customWidth="1"/>
    <col min="7976" max="8214" width="9.140625" style="29"/>
    <col min="8215" max="8215" width="2.5703125" style="29" customWidth="1"/>
    <col min="8216" max="8216" width="60.7109375" style="29" customWidth="1"/>
    <col min="8217" max="8217" width="10.7109375" style="29" customWidth="1"/>
    <col min="8218" max="8219" width="15.7109375" style="29" customWidth="1"/>
    <col min="8220" max="8220" width="9.28515625" style="29" bestFit="1" customWidth="1"/>
    <col min="8221" max="8231" width="14.7109375" style="29" customWidth="1"/>
    <col min="8232" max="8470" width="9.140625" style="29"/>
    <col min="8471" max="8471" width="2.5703125" style="29" customWidth="1"/>
    <col min="8472" max="8472" width="60.7109375" style="29" customWidth="1"/>
    <col min="8473" max="8473" width="10.7109375" style="29" customWidth="1"/>
    <col min="8474" max="8475" width="15.7109375" style="29" customWidth="1"/>
    <col min="8476" max="8476" width="9.28515625" style="29" bestFit="1" customWidth="1"/>
    <col min="8477" max="8487" width="14.7109375" style="29" customWidth="1"/>
    <col min="8488" max="8726" width="9.140625" style="29"/>
    <col min="8727" max="8727" width="2.5703125" style="29" customWidth="1"/>
    <col min="8728" max="8728" width="60.7109375" style="29" customWidth="1"/>
    <col min="8729" max="8729" width="10.7109375" style="29" customWidth="1"/>
    <col min="8730" max="8731" width="15.7109375" style="29" customWidth="1"/>
    <col min="8732" max="8732" width="9.28515625" style="29" bestFit="1" customWidth="1"/>
    <col min="8733" max="8743" width="14.7109375" style="29" customWidth="1"/>
    <col min="8744" max="8982" width="9.140625" style="29"/>
    <col min="8983" max="8983" width="2.5703125" style="29" customWidth="1"/>
    <col min="8984" max="8984" width="60.7109375" style="29" customWidth="1"/>
    <col min="8985" max="8985" width="10.7109375" style="29" customWidth="1"/>
    <col min="8986" max="8987" width="15.7109375" style="29" customWidth="1"/>
    <col min="8988" max="8988" width="9.28515625" style="29" bestFit="1" customWidth="1"/>
    <col min="8989" max="8999" width="14.7109375" style="29" customWidth="1"/>
    <col min="9000" max="9238" width="9.140625" style="29"/>
    <col min="9239" max="9239" width="2.5703125" style="29" customWidth="1"/>
    <col min="9240" max="9240" width="60.7109375" style="29" customWidth="1"/>
    <col min="9241" max="9241" width="10.7109375" style="29" customWidth="1"/>
    <col min="9242" max="9243" width="15.7109375" style="29" customWidth="1"/>
    <col min="9244" max="9244" width="9.28515625" style="29" bestFit="1" customWidth="1"/>
    <col min="9245" max="9255" width="14.7109375" style="29" customWidth="1"/>
    <col min="9256" max="9494" width="9.140625" style="29"/>
    <col min="9495" max="9495" width="2.5703125" style="29" customWidth="1"/>
    <col min="9496" max="9496" width="60.7109375" style="29" customWidth="1"/>
    <col min="9497" max="9497" width="10.7109375" style="29" customWidth="1"/>
    <col min="9498" max="9499" width="15.7109375" style="29" customWidth="1"/>
    <col min="9500" max="9500" width="9.28515625" style="29" bestFit="1" customWidth="1"/>
    <col min="9501" max="9511" width="14.7109375" style="29" customWidth="1"/>
    <col min="9512" max="9750" width="9.140625" style="29"/>
    <col min="9751" max="9751" width="2.5703125" style="29" customWidth="1"/>
    <col min="9752" max="9752" width="60.7109375" style="29" customWidth="1"/>
    <col min="9753" max="9753" width="10.7109375" style="29" customWidth="1"/>
    <col min="9754" max="9755" width="15.7109375" style="29" customWidth="1"/>
    <col min="9756" max="9756" width="9.28515625" style="29" bestFit="1" customWidth="1"/>
    <col min="9757" max="9767" width="14.7109375" style="29" customWidth="1"/>
    <col min="9768" max="10006" width="9.140625" style="29"/>
    <col min="10007" max="10007" width="2.5703125" style="29" customWidth="1"/>
    <col min="10008" max="10008" width="60.7109375" style="29" customWidth="1"/>
    <col min="10009" max="10009" width="10.7109375" style="29" customWidth="1"/>
    <col min="10010" max="10011" width="15.7109375" style="29" customWidth="1"/>
    <col min="10012" max="10012" width="9.28515625" style="29" bestFit="1" customWidth="1"/>
    <col min="10013" max="10023" width="14.7109375" style="29" customWidth="1"/>
    <col min="10024" max="10262" width="9.140625" style="29"/>
    <col min="10263" max="10263" width="2.5703125" style="29" customWidth="1"/>
    <col min="10264" max="10264" width="60.7109375" style="29" customWidth="1"/>
    <col min="10265" max="10265" width="10.7109375" style="29" customWidth="1"/>
    <col min="10266" max="10267" width="15.7109375" style="29" customWidth="1"/>
    <col min="10268" max="10268" width="9.28515625" style="29" bestFit="1" customWidth="1"/>
    <col min="10269" max="10279" width="14.7109375" style="29" customWidth="1"/>
    <col min="10280" max="10518" width="9.140625" style="29"/>
    <col min="10519" max="10519" width="2.5703125" style="29" customWidth="1"/>
    <col min="10520" max="10520" width="60.7109375" style="29" customWidth="1"/>
    <col min="10521" max="10521" width="10.7109375" style="29" customWidth="1"/>
    <col min="10522" max="10523" width="15.7109375" style="29" customWidth="1"/>
    <col min="10524" max="10524" width="9.28515625" style="29" bestFit="1" customWidth="1"/>
    <col min="10525" max="10535" width="14.7109375" style="29" customWidth="1"/>
    <col min="10536" max="10774" width="9.140625" style="29"/>
    <col min="10775" max="10775" width="2.5703125" style="29" customWidth="1"/>
    <col min="10776" max="10776" width="60.7109375" style="29" customWidth="1"/>
    <col min="10777" max="10777" width="10.7109375" style="29" customWidth="1"/>
    <col min="10778" max="10779" width="15.7109375" style="29" customWidth="1"/>
    <col min="10780" max="10780" width="9.28515625" style="29" bestFit="1" customWidth="1"/>
    <col min="10781" max="10791" width="14.7109375" style="29" customWidth="1"/>
    <col min="10792" max="11030" width="9.140625" style="29"/>
    <col min="11031" max="11031" width="2.5703125" style="29" customWidth="1"/>
    <col min="11032" max="11032" width="60.7109375" style="29" customWidth="1"/>
    <col min="11033" max="11033" width="10.7109375" style="29" customWidth="1"/>
    <col min="11034" max="11035" width="15.7109375" style="29" customWidth="1"/>
    <col min="11036" max="11036" width="9.28515625" style="29" bestFit="1" customWidth="1"/>
    <col min="11037" max="11047" width="14.7109375" style="29" customWidth="1"/>
    <col min="11048" max="11286" width="9.140625" style="29"/>
    <col min="11287" max="11287" width="2.5703125" style="29" customWidth="1"/>
    <col min="11288" max="11288" width="60.7109375" style="29" customWidth="1"/>
    <col min="11289" max="11289" width="10.7109375" style="29" customWidth="1"/>
    <col min="11290" max="11291" width="15.7109375" style="29" customWidth="1"/>
    <col min="11292" max="11292" width="9.28515625" style="29" bestFit="1" customWidth="1"/>
    <col min="11293" max="11303" width="14.7109375" style="29" customWidth="1"/>
    <col min="11304" max="11542" width="9.140625" style="29"/>
    <col min="11543" max="11543" width="2.5703125" style="29" customWidth="1"/>
    <col min="11544" max="11544" width="60.7109375" style="29" customWidth="1"/>
    <col min="11545" max="11545" width="10.7109375" style="29" customWidth="1"/>
    <col min="11546" max="11547" width="15.7109375" style="29" customWidth="1"/>
    <col min="11548" max="11548" width="9.28515625" style="29" bestFit="1" customWidth="1"/>
    <col min="11549" max="11559" width="14.7109375" style="29" customWidth="1"/>
    <col min="11560" max="11798" width="9.140625" style="29"/>
    <col min="11799" max="11799" width="2.5703125" style="29" customWidth="1"/>
    <col min="11800" max="11800" width="60.7109375" style="29" customWidth="1"/>
    <col min="11801" max="11801" width="10.7109375" style="29" customWidth="1"/>
    <col min="11802" max="11803" width="15.7109375" style="29" customWidth="1"/>
    <col min="11804" max="11804" width="9.28515625" style="29" bestFit="1" customWidth="1"/>
    <col min="11805" max="11815" width="14.7109375" style="29" customWidth="1"/>
    <col min="11816" max="12054" width="9.140625" style="29"/>
    <col min="12055" max="12055" width="2.5703125" style="29" customWidth="1"/>
    <col min="12056" max="12056" width="60.7109375" style="29" customWidth="1"/>
    <col min="12057" max="12057" width="10.7109375" style="29" customWidth="1"/>
    <col min="12058" max="12059" width="15.7109375" style="29" customWidth="1"/>
    <col min="12060" max="12060" width="9.28515625" style="29" bestFit="1" customWidth="1"/>
    <col min="12061" max="12071" width="14.7109375" style="29" customWidth="1"/>
    <col min="12072" max="12310" width="9.140625" style="29"/>
    <col min="12311" max="12311" width="2.5703125" style="29" customWidth="1"/>
    <col min="12312" max="12312" width="60.7109375" style="29" customWidth="1"/>
    <col min="12313" max="12313" width="10.7109375" style="29" customWidth="1"/>
    <col min="12314" max="12315" width="15.7109375" style="29" customWidth="1"/>
    <col min="12316" max="12316" width="9.28515625" style="29" bestFit="1" customWidth="1"/>
    <col min="12317" max="12327" width="14.7109375" style="29" customWidth="1"/>
    <col min="12328" max="12566" width="9.140625" style="29"/>
    <col min="12567" max="12567" width="2.5703125" style="29" customWidth="1"/>
    <col min="12568" max="12568" width="60.7109375" style="29" customWidth="1"/>
    <col min="12569" max="12569" width="10.7109375" style="29" customWidth="1"/>
    <col min="12570" max="12571" width="15.7109375" style="29" customWidth="1"/>
    <col min="12572" max="12572" width="9.28515625" style="29" bestFit="1" customWidth="1"/>
    <col min="12573" max="12583" width="14.7109375" style="29" customWidth="1"/>
    <col min="12584" max="12822" width="9.140625" style="29"/>
    <col min="12823" max="12823" width="2.5703125" style="29" customWidth="1"/>
    <col min="12824" max="12824" width="60.7109375" style="29" customWidth="1"/>
    <col min="12825" max="12825" width="10.7109375" style="29" customWidth="1"/>
    <col min="12826" max="12827" width="15.7109375" style="29" customWidth="1"/>
    <col min="12828" max="12828" width="9.28515625" style="29" bestFit="1" customWidth="1"/>
    <col min="12829" max="12839" width="14.7109375" style="29" customWidth="1"/>
    <col min="12840" max="13078" width="9.140625" style="29"/>
    <col min="13079" max="13079" width="2.5703125" style="29" customWidth="1"/>
    <col min="13080" max="13080" width="60.7109375" style="29" customWidth="1"/>
    <col min="13081" max="13081" width="10.7109375" style="29" customWidth="1"/>
    <col min="13082" max="13083" width="15.7109375" style="29" customWidth="1"/>
    <col min="13084" max="13084" width="9.28515625" style="29" bestFit="1" customWidth="1"/>
    <col min="13085" max="13095" width="14.7109375" style="29" customWidth="1"/>
    <col min="13096" max="13334" width="9.140625" style="29"/>
    <col min="13335" max="13335" width="2.5703125" style="29" customWidth="1"/>
    <col min="13336" max="13336" width="60.7109375" style="29" customWidth="1"/>
    <col min="13337" max="13337" width="10.7109375" style="29" customWidth="1"/>
    <col min="13338" max="13339" width="15.7109375" style="29" customWidth="1"/>
    <col min="13340" max="13340" width="9.28515625" style="29" bestFit="1" customWidth="1"/>
    <col min="13341" max="13351" width="14.7109375" style="29" customWidth="1"/>
    <col min="13352" max="13590" width="9.140625" style="29"/>
    <col min="13591" max="13591" width="2.5703125" style="29" customWidth="1"/>
    <col min="13592" max="13592" width="60.7109375" style="29" customWidth="1"/>
    <col min="13593" max="13593" width="10.7109375" style="29" customWidth="1"/>
    <col min="13594" max="13595" width="15.7109375" style="29" customWidth="1"/>
    <col min="13596" max="13596" width="9.28515625" style="29" bestFit="1" customWidth="1"/>
    <col min="13597" max="13607" width="14.7109375" style="29" customWidth="1"/>
    <col min="13608" max="13846" width="9.140625" style="29"/>
    <col min="13847" max="13847" width="2.5703125" style="29" customWidth="1"/>
    <col min="13848" max="13848" width="60.7109375" style="29" customWidth="1"/>
    <col min="13849" max="13849" width="10.7109375" style="29" customWidth="1"/>
    <col min="13850" max="13851" width="15.7109375" style="29" customWidth="1"/>
    <col min="13852" max="13852" width="9.28515625" style="29" bestFit="1" customWidth="1"/>
    <col min="13853" max="13863" width="14.7109375" style="29" customWidth="1"/>
    <col min="13864" max="14102" width="9.140625" style="29"/>
    <col min="14103" max="14103" width="2.5703125" style="29" customWidth="1"/>
    <col min="14104" max="14104" width="60.7109375" style="29" customWidth="1"/>
    <col min="14105" max="14105" width="10.7109375" style="29" customWidth="1"/>
    <col min="14106" max="14107" width="15.7109375" style="29" customWidth="1"/>
    <col min="14108" max="14108" width="9.28515625" style="29" bestFit="1" customWidth="1"/>
    <col min="14109" max="14119" width="14.7109375" style="29" customWidth="1"/>
    <col min="14120" max="14358" width="9.140625" style="29"/>
    <col min="14359" max="14359" width="2.5703125" style="29" customWidth="1"/>
    <col min="14360" max="14360" width="60.7109375" style="29" customWidth="1"/>
    <col min="14361" max="14361" width="10.7109375" style="29" customWidth="1"/>
    <col min="14362" max="14363" width="15.7109375" style="29" customWidth="1"/>
    <col min="14364" max="14364" width="9.28515625" style="29" bestFit="1" customWidth="1"/>
    <col min="14365" max="14375" width="14.7109375" style="29" customWidth="1"/>
    <col min="14376" max="14614" width="9.140625" style="29"/>
    <col min="14615" max="14615" width="2.5703125" style="29" customWidth="1"/>
    <col min="14616" max="14616" width="60.7109375" style="29" customWidth="1"/>
    <col min="14617" max="14617" width="10.7109375" style="29" customWidth="1"/>
    <col min="14618" max="14619" width="15.7109375" style="29" customWidth="1"/>
    <col min="14620" max="14620" width="9.28515625" style="29" bestFit="1" customWidth="1"/>
    <col min="14621" max="14631" width="14.7109375" style="29" customWidth="1"/>
    <col min="14632" max="14870" width="9.140625" style="29"/>
    <col min="14871" max="14871" width="2.5703125" style="29" customWidth="1"/>
    <col min="14872" max="14872" width="60.7109375" style="29" customWidth="1"/>
    <col min="14873" max="14873" width="10.7109375" style="29" customWidth="1"/>
    <col min="14874" max="14875" width="15.7109375" style="29" customWidth="1"/>
    <col min="14876" max="14876" width="9.28515625" style="29" bestFit="1" customWidth="1"/>
    <col min="14877" max="14887" width="14.7109375" style="29" customWidth="1"/>
    <col min="14888" max="15126" width="9.140625" style="29"/>
    <col min="15127" max="15127" width="2.5703125" style="29" customWidth="1"/>
    <col min="15128" max="15128" width="60.7109375" style="29" customWidth="1"/>
    <col min="15129" max="15129" width="10.7109375" style="29" customWidth="1"/>
    <col min="15130" max="15131" width="15.7109375" style="29" customWidth="1"/>
    <col min="15132" max="15132" width="9.28515625" style="29" bestFit="1" customWidth="1"/>
    <col min="15133" max="15143" width="14.7109375" style="29" customWidth="1"/>
    <col min="15144" max="15382" width="9.140625" style="29"/>
    <col min="15383" max="15383" width="2.5703125" style="29" customWidth="1"/>
    <col min="15384" max="15384" width="60.7109375" style="29" customWidth="1"/>
    <col min="15385" max="15385" width="10.7109375" style="29" customWidth="1"/>
    <col min="15386" max="15387" width="15.7109375" style="29" customWidth="1"/>
    <col min="15388" max="15388" width="9.28515625" style="29" bestFit="1" customWidth="1"/>
    <col min="15389" max="15399" width="14.7109375" style="29" customWidth="1"/>
    <col min="15400" max="15638" width="9.140625" style="29"/>
    <col min="15639" max="15639" width="2.5703125" style="29" customWidth="1"/>
    <col min="15640" max="15640" width="60.7109375" style="29" customWidth="1"/>
    <col min="15641" max="15641" width="10.7109375" style="29" customWidth="1"/>
    <col min="15642" max="15643" width="15.7109375" style="29" customWidth="1"/>
    <col min="15644" max="15644" width="9.28515625" style="29" bestFit="1" customWidth="1"/>
    <col min="15645" max="15655" width="14.7109375" style="29" customWidth="1"/>
    <col min="15656" max="15894" width="9.140625" style="29"/>
    <col min="15895" max="15895" width="2.5703125" style="29" customWidth="1"/>
    <col min="15896" max="15896" width="60.7109375" style="29" customWidth="1"/>
    <col min="15897" max="15897" width="10.7109375" style="29" customWidth="1"/>
    <col min="15898" max="15899" width="15.7109375" style="29" customWidth="1"/>
    <col min="15900" max="15900" width="9.28515625" style="29" bestFit="1" customWidth="1"/>
    <col min="15901" max="15911" width="14.7109375" style="29" customWidth="1"/>
    <col min="15912" max="16150" width="9.140625" style="29"/>
    <col min="16151" max="16151" width="2.5703125" style="29" customWidth="1"/>
    <col min="16152" max="16152" width="60.7109375" style="29" customWidth="1"/>
    <col min="16153" max="16153" width="10.7109375" style="29" customWidth="1"/>
    <col min="16154" max="16155" width="15.7109375" style="29" customWidth="1"/>
    <col min="16156" max="16156" width="9.28515625" style="29" bestFit="1" customWidth="1"/>
    <col min="16157" max="16167" width="14.7109375" style="29" customWidth="1"/>
    <col min="16168" max="16384" width="9.140625" style="29"/>
  </cols>
  <sheetData>
    <row r="1" spans="2:55" s="1" customFormat="1" ht="12" hidden="1" customHeight="1" x14ac:dyDescent="0.2">
      <c r="C1" s="2"/>
      <c r="AU1" s="144"/>
      <c r="AY1" s="144"/>
    </row>
    <row r="2" spans="2:55" s="1" customFormat="1" ht="12" hidden="1" customHeight="1" x14ac:dyDescent="0.2">
      <c r="C2" s="2"/>
      <c r="AU2" s="144"/>
      <c r="AY2" s="144"/>
    </row>
    <row r="3" spans="2:55" s="1" customFormat="1" ht="12" hidden="1" customHeight="1" x14ac:dyDescent="0.2">
      <c r="C3" s="2"/>
      <c r="AU3" s="144"/>
      <c r="AY3" s="144"/>
    </row>
    <row r="4" spans="2:55" s="1" customFormat="1" ht="12" hidden="1" customHeight="1" x14ac:dyDescent="0.2">
      <c r="C4" s="2"/>
      <c r="AU4" s="144"/>
      <c r="AY4" s="144"/>
    </row>
    <row r="5" spans="2:55" s="1" customFormat="1" ht="12" customHeight="1" x14ac:dyDescent="0.2">
      <c r="C5" s="2"/>
      <c r="AU5" s="144"/>
      <c r="AY5" s="144"/>
    </row>
    <row r="6" spans="2:55" s="95" customFormat="1" ht="12" customHeight="1" x14ac:dyDescent="0.2">
      <c r="B6" s="95" t="s">
        <v>58</v>
      </c>
      <c r="C6" s="96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6"/>
      <c r="AL6" s="97"/>
      <c r="AM6" s="97"/>
      <c r="AN6" s="97"/>
      <c r="AO6" s="97"/>
      <c r="AP6" s="97"/>
      <c r="AQ6" s="97"/>
      <c r="AR6" s="97"/>
      <c r="AS6" s="97"/>
      <c r="AT6" s="97"/>
      <c r="AU6" s="145"/>
      <c r="AV6" s="96"/>
      <c r="AW6" s="96"/>
      <c r="AX6" s="96"/>
      <c r="AY6" s="145"/>
      <c r="BA6" s="96"/>
      <c r="BB6" s="96"/>
      <c r="BC6" s="96"/>
    </row>
    <row r="7" spans="2:55" s="148" customFormat="1" ht="12" customHeight="1" x14ac:dyDescent="0.2">
      <c r="B7" s="223" t="s">
        <v>59</v>
      </c>
      <c r="C7" s="224"/>
      <c r="D7" s="217" t="s">
        <v>267</v>
      </c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70"/>
      <c r="AA7" s="170"/>
      <c r="AB7" s="170"/>
      <c r="AC7" s="170"/>
      <c r="AD7" s="170"/>
      <c r="AE7" s="170"/>
      <c r="AF7" s="162"/>
      <c r="AG7" s="162"/>
      <c r="AH7" s="162"/>
      <c r="AI7" s="162"/>
      <c r="AJ7" s="162"/>
      <c r="AL7" s="213" t="s">
        <v>267</v>
      </c>
      <c r="AM7" s="214"/>
      <c r="AN7" s="214"/>
      <c r="AO7" s="215"/>
      <c r="AP7" s="184"/>
      <c r="AQ7" s="184"/>
      <c r="AR7" s="184"/>
      <c r="AS7" s="184"/>
      <c r="AT7" s="185"/>
      <c r="AU7" s="149"/>
      <c r="AY7" s="149"/>
    </row>
    <row r="8" spans="2:55" s="148" customFormat="1" ht="12" customHeight="1" x14ac:dyDescent="0.2">
      <c r="B8" s="225"/>
      <c r="C8" s="226"/>
      <c r="D8" s="216" t="s">
        <v>48</v>
      </c>
      <c r="E8" s="216" t="s">
        <v>122</v>
      </c>
      <c r="F8" s="216" t="s">
        <v>49</v>
      </c>
      <c r="G8" s="216" t="s">
        <v>50</v>
      </c>
      <c r="H8" s="216" t="s">
        <v>46</v>
      </c>
      <c r="I8" s="216" t="s">
        <v>123</v>
      </c>
      <c r="J8" s="216" t="s">
        <v>25</v>
      </c>
      <c r="K8" s="216" t="s">
        <v>47</v>
      </c>
      <c r="L8" s="216" t="s">
        <v>45</v>
      </c>
      <c r="M8" s="216" t="s">
        <v>124</v>
      </c>
      <c r="N8" s="216" t="s">
        <v>24</v>
      </c>
      <c r="O8" s="216" t="s">
        <v>57</v>
      </c>
      <c r="P8" s="216" t="s">
        <v>296</v>
      </c>
      <c r="Q8" s="216" t="s">
        <v>298</v>
      </c>
      <c r="R8" s="216" t="s">
        <v>302</v>
      </c>
      <c r="S8" s="216" t="s">
        <v>307</v>
      </c>
      <c r="T8" s="211" t="s">
        <v>310</v>
      </c>
      <c r="U8" s="211" t="s">
        <v>313</v>
      </c>
      <c r="V8" s="211" t="s">
        <v>316</v>
      </c>
      <c r="W8" s="211" t="s">
        <v>319</v>
      </c>
      <c r="X8" s="211" t="s">
        <v>324</v>
      </c>
      <c r="Y8" s="211" t="s">
        <v>326</v>
      </c>
      <c r="Z8" s="211" t="s">
        <v>329</v>
      </c>
      <c r="AA8" s="211" t="s">
        <v>333</v>
      </c>
      <c r="AB8" s="211" t="s">
        <v>335</v>
      </c>
      <c r="AC8" s="211" t="s">
        <v>337</v>
      </c>
      <c r="AD8" s="211" t="s">
        <v>343</v>
      </c>
      <c r="AE8" s="211" t="s">
        <v>347</v>
      </c>
      <c r="AF8" s="211" t="s">
        <v>356</v>
      </c>
      <c r="AG8" s="211" t="s">
        <v>358</v>
      </c>
      <c r="AH8" s="211" t="s">
        <v>362</v>
      </c>
      <c r="AI8" s="211" t="s">
        <v>365</v>
      </c>
      <c r="AJ8" s="211" t="s">
        <v>368</v>
      </c>
      <c r="AL8" s="216" t="s">
        <v>50</v>
      </c>
      <c r="AM8" s="216" t="s">
        <v>47</v>
      </c>
      <c r="AN8" s="216" t="s">
        <v>57</v>
      </c>
      <c r="AO8" s="216" t="str">
        <f>S8</f>
        <v>31.12.2021</v>
      </c>
      <c r="AP8" s="216" t="s">
        <v>319</v>
      </c>
      <c r="AQ8" s="216" t="s">
        <v>333</v>
      </c>
      <c r="AR8" s="216" t="s">
        <v>347</v>
      </c>
      <c r="AS8" s="216" t="s">
        <v>365</v>
      </c>
      <c r="AT8" s="211" t="s">
        <v>368</v>
      </c>
      <c r="AU8" s="149"/>
      <c r="AY8" s="149"/>
    </row>
    <row r="9" spans="2:55" s="148" customFormat="1" ht="12" customHeight="1" x14ac:dyDescent="0.2">
      <c r="B9" s="217"/>
      <c r="C9" s="227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L9" s="212"/>
      <c r="AM9" s="212"/>
      <c r="AN9" s="212"/>
      <c r="AO9" s="212"/>
      <c r="AP9" s="212"/>
      <c r="AQ9" s="212"/>
      <c r="AR9" s="212"/>
      <c r="AS9" s="212"/>
      <c r="AT9" s="212"/>
      <c r="AY9" s="149"/>
    </row>
    <row r="10" spans="2:55" ht="12" customHeight="1" x14ac:dyDescent="0.2">
      <c r="B10" s="218" t="s">
        <v>60</v>
      </c>
      <c r="C10" s="218"/>
      <c r="D10" s="39">
        <f t="shared" ref="D10:F10" si="0">SUM(D11:D18,D21,D24,D27:D30)</f>
        <v>460348</v>
      </c>
      <c r="E10" s="39">
        <f t="shared" si="0"/>
        <v>463608</v>
      </c>
      <c r="F10" s="39">
        <f t="shared" si="0"/>
        <v>456055</v>
      </c>
      <c r="G10" s="39">
        <f>SUM(G11:G18,G21,G24,G27:G30)</f>
        <v>459944</v>
      </c>
      <c r="H10" s="39">
        <f t="shared" ref="H10:R10" si="1">SUM(H11:H18,H21,H24,H27:H30)</f>
        <v>467958</v>
      </c>
      <c r="I10" s="39">
        <f t="shared" si="1"/>
        <v>478130</v>
      </c>
      <c r="J10" s="39">
        <f t="shared" si="1"/>
        <v>487324</v>
      </c>
      <c r="K10" s="39">
        <f t="shared" si="1"/>
        <v>472363</v>
      </c>
      <c r="L10" s="39">
        <f>SUM(L11:L18,L21,L24,L27:L30)</f>
        <v>472456</v>
      </c>
      <c r="M10" s="39">
        <f>SUM(M11:M18,M21,M24,M27:M30)</f>
        <v>473607</v>
      </c>
      <c r="N10" s="39">
        <f t="shared" si="1"/>
        <v>478522</v>
      </c>
      <c r="O10" s="39">
        <f t="shared" si="1"/>
        <v>496611</v>
      </c>
      <c r="P10" s="39">
        <f t="shared" si="1"/>
        <v>503177</v>
      </c>
      <c r="Q10" s="39">
        <f t="shared" si="1"/>
        <v>504349</v>
      </c>
      <c r="R10" s="39">
        <f t="shared" si="1"/>
        <v>513795</v>
      </c>
      <c r="S10" s="39">
        <f t="shared" ref="S10:V10" si="2">SUM(S11:S18,S21,S24,S27:S30)</f>
        <v>532118</v>
      </c>
      <c r="T10" s="39">
        <f t="shared" si="2"/>
        <v>547090</v>
      </c>
      <c r="U10" s="39">
        <f t="shared" si="2"/>
        <v>554615</v>
      </c>
      <c r="V10" s="39">
        <f t="shared" si="2"/>
        <v>550638</v>
      </c>
      <c r="W10" s="39">
        <f t="shared" ref="W10:AD10" si="3">SUM(W11:W18,W21,W24,W27:W30)</f>
        <v>527979</v>
      </c>
      <c r="X10" s="39">
        <f t="shared" si="3"/>
        <v>523852</v>
      </c>
      <c r="Y10" s="39">
        <f t="shared" si="3"/>
        <v>510639</v>
      </c>
      <c r="Z10" s="39">
        <f t="shared" si="3"/>
        <v>506869</v>
      </c>
      <c r="AA10" s="39">
        <f t="shared" si="3"/>
        <v>492647</v>
      </c>
      <c r="AB10" s="39">
        <f t="shared" si="3"/>
        <v>493475</v>
      </c>
      <c r="AC10" s="39">
        <f t="shared" si="3"/>
        <v>484352</v>
      </c>
      <c r="AD10" s="39">
        <f t="shared" si="3"/>
        <v>485730</v>
      </c>
      <c r="AE10" s="39">
        <f t="shared" ref="AE10:AJ10" si="4">SUM(AE11:AE18,AE21,AE24,AE27,AE30)</f>
        <v>497947</v>
      </c>
      <c r="AF10" s="39">
        <f t="shared" si="4"/>
        <v>496654</v>
      </c>
      <c r="AG10" s="39">
        <f t="shared" si="4"/>
        <v>510088</v>
      </c>
      <c r="AH10" s="39">
        <f t="shared" si="4"/>
        <v>518915</v>
      </c>
      <c r="AI10" s="39">
        <f t="shared" si="4"/>
        <v>540459</v>
      </c>
      <c r="AJ10" s="39">
        <f t="shared" si="4"/>
        <v>538690</v>
      </c>
      <c r="AL10" s="39">
        <f>G10</f>
        <v>459944</v>
      </c>
      <c r="AM10" s="39">
        <f>K10</f>
        <v>472363</v>
      </c>
      <c r="AN10" s="39">
        <f>O10</f>
        <v>496611</v>
      </c>
      <c r="AO10" s="39">
        <f t="shared" ref="AO10:AO57" si="5">S10</f>
        <v>532118</v>
      </c>
      <c r="AP10" s="39">
        <f t="shared" ref="AP10:AP43" si="6">W10</f>
        <v>527979</v>
      </c>
      <c r="AQ10" s="39">
        <f>AA10</f>
        <v>492647</v>
      </c>
      <c r="AR10" s="39">
        <f>SUM(AR11:AR18,AR21,AR24,AR27,AR30)</f>
        <v>497947</v>
      </c>
      <c r="AS10" s="39">
        <f>SUM(AS11:AS18,AS21,AS24,AS27,AS30)</f>
        <v>540459</v>
      </c>
      <c r="AT10" s="39">
        <f>SUM(AT11:AT18,AT21,AT24,AT27,AT30)</f>
        <v>538690</v>
      </c>
      <c r="AU10" s="149"/>
      <c r="AV10" s="148"/>
      <c r="AW10" s="148"/>
      <c r="AX10" s="148"/>
      <c r="AZ10" s="146"/>
    </row>
    <row r="11" spans="2:55" ht="12" customHeight="1" x14ac:dyDescent="0.2">
      <c r="B11" s="31"/>
      <c r="C11" s="32" t="s">
        <v>61</v>
      </c>
      <c r="D11" s="33">
        <v>94507</v>
      </c>
      <c r="E11" s="33">
        <v>97205</v>
      </c>
      <c r="F11" s="33">
        <v>96250</v>
      </c>
      <c r="G11" s="33">
        <v>91575</v>
      </c>
      <c r="H11" s="33">
        <v>95920</v>
      </c>
      <c r="I11" s="33">
        <v>95748</v>
      </c>
      <c r="J11" s="33">
        <v>97380</v>
      </c>
      <c r="K11" s="33">
        <v>95406</v>
      </c>
      <c r="L11" s="33">
        <v>100634</v>
      </c>
      <c r="M11" s="33">
        <v>95015</v>
      </c>
      <c r="N11" s="33">
        <v>95688</v>
      </c>
      <c r="O11" s="33">
        <v>103038</v>
      </c>
      <c r="P11" s="33">
        <v>106403</v>
      </c>
      <c r="Q11" s="33">
        <v>106628</v>
      </c>
      <c r="R11" s="33">
        <v>108662</v>
      </c>
      <c r="S11" s="33">
        <v>111294</v>
      </c>
      <c r="T11" s="33">
        <v>112038</v>
      </c>
      <c r="U11" s="33">
        <v>114155</v>
      </c>
      <c r="V11" s="33">
        <v>105976</v>
      </c>
      <c r="W11" s="33">
        <v>105831</v>
      </c>
      <c r="X11" s="33">
        <v>105401</v>
      </c>
      <c r="Y11" s="33">
        <v>103825</v>
      </c>
      <c r="Z11" s="33">
        <v>103886</v>
      </c>
      <c r="AA11" s="33">
        <v>94114</v>
      </c>
      <c r="AB11" s="33">
        <v>94615</v>
      </c>
      <c r="AC11" s="33">
        <v>94718</v>
      </c>
      <c r="AD11" s="33">
        <v>94323</v>
      </c>
      <c r="AE11" s="33">
        <v>88444</v>
      </c>
      <c r="AF11" s="33">
        <v>86715</v>
      </c>
      <c r="AG11" s="33">
        <v>89343</v>
      </c>
      <c r="AH11" s="33">
        <v>90953</v>
      </c>
      <c r="AI11" s="33">
        <v>95479</v>
      </c>
      <c r="AJ11" s="33">
        <v>96093</v>
      </c>
      <c r="AL11" s="33">
        <f t="shared" ref="AL11:AL84" si="7">G11</f>
        <v>91575</v>
      </c>
      <c r="AM11" s="33">
        <f t="shared" ref="AM11:AM84" si="8">K11</f>
        <v>95406</v>
      </c>
      <c r="AN11" s="33">
        <f t="shared" ref="AN11:AN84" si="9">O11</f>
        <v>103038</v>
      </c>
      <c r="AO11" s="33">
        <f t="shared" si="5"/>
        <v>111294</v>
      </c>
      <c r="AP11" s="33">
        <f t="shared" si="6"/>
        <v>105831</v>
      </c>
      <c r="AQ11" s="33">
        <f t="shared" ref="AQ11:AQ82" si="10">AA11</f>
        <v>94114</v>
      </c>
      <c r="AR11" s="33">
        <f t="shared" ref="AR11:AR50" si="11">AE11</f>
        <v>88444</v>
      </c>
      <c r="AS11" s="33">
        <f t="shared" ref="AS11:AT42" si="12">AI11</f>
        <v>95479</v>
      </c>
      <c r="AT11" s="33">
        <f t="shared" si="12"/>
        <v>96093</v>
      </c>
      <c r="AU11" s="149"/>
      <c r="AX11" s="148"/>
      <c r="AZ11" s="146"/>
      <c r="BB11" s="161"/>
    </row>
    <row r="12" spans="2:55" ht="12" customHeight="1" x14ac:dyDescent="0.2">
      <c r="B12" s="31"/>
      <c r="C12" s="32" t="s">
        <v>62</v>
      </c>
      <c r="D12" s="33">
        <v>119872</v>
      </c>
      <c r="E12" s="33">
        <v>120655</v>
      </c>
      <c r="F12" s="33">
        <v>120146</v>
      </c>
      <c r="G12" s="33">
        <v>123959</v>
      </c>
      <c r="H12" s="33">
        <v>120400</v>
      </c>
      <c r="I12" s="33">
        <v>120009</v>
      </c>
      <c r="J12" s="33">
        <v>120704</v>
      </c>
      <c r="K12" s="33">
        <v>123785</v>
      </c>
      <c r="L12" s="33">
        <v>121431</v>
      </c>
      <c r="M12" s="33">
        <v>124651</v>
      </c>
      <c r="N12" s="33">
        <v>124984</v>
      </c>
      <c r="O12" s="33">
        <v>125546</v>
      </c>
      <c r="P12" s="33">
        <v>126008</v>
      </c>
      <c r="Q12" s="33">
        <v>125249</v>
      </c>
      <c r="R12" s="33">
        <v>125828</v>
      </c>
      <c r="S12" s="33">
        <v>125777</v>
      </c>
      <c r="T12" s="33">
        <v>126029</v>
      </c>
      <c r="U12" s="33">
        <v>126116</v>
      </c>
      <c r="V12" s="33">
        <v>126894</v>
      </c>
      <c r="W12" s="33">
        <v>122275</v>
      </c>
      <c r="X12" s="33">
        <v>122204</v>
      </c>
      <c r="Y12" s="33">
        <v>121180</v>
      </c>
      <c r="Z12" s="33">
        <v>121966</v>
      </c>
      <c r="AA12" s="33">
        <v>120672</v>
      </c>
      <c r="AB12" s="33">
        <v>120431</v>
      </c>
      <c r="AC12" s="33">
        <v>120524</v>
      </c>
      <c r="AD12" s="33">
        <v>120365</v>
      </c>
      <c r="AE12" s="33">
        <v>120004</v>
      </c>
      <c r="AF12" s="33">
        <v>119589</v>
      </c>
      <c r="AG12" s="33">
        <v>119851</v>
      </c>
      <c r="AH12" s="33">
        <v>119978</v>
      </c>
      <c r="AI12" s="33">
        <v>117960</v>
      </c>
      <c r="AJ12" s="33">
        <v>118249</v>
      </c>
      <c r="AL12" s="33">
        <f t="shared" si="7"/>
        <v>123959</v>
      </c>
      <c r="AM12" s="33">
        <f t="shared" si="8"/>
        <v>123785</v>
      </c>
      <c r="AN12" s="33">
        <f t="shared" si="9"/>
        <v>125546</v>
      </c>
      <c r="AO12" s="33">
        <f t="shared" si="5"/>
        <v>125777</v>
      </c>
      <c r="AP12" s="33">
        <f t="shared" si="6"/>
        <v>122275</v>
      </c>
      <c r="AQ12" s="33">
        <f t="shared" si="10"/>
        <v>120672</v>
      </c>
      <c r="AR12" s="33">
        <f t="shared" si="11"/>
        <v>120004</v>
      </c>
      <c r="AS12" s="33">
        <f t="shared" si="12"/>
        <v>117960</v>
      </c>
      <c r="AT12" s="33">
        <f t="shared" si="12"/>
        <v>118249</v>
      </c>
      <c r="AU12" s="149"/>
      <c r="AX12" s="148"/>
      <c r="AZ12" s="146"/>
    </row>
    <row r="13" spans="2:55" ht="12" customHeight="1" x14ac:dyDescent="0.2">
      <c r="B13" s="31"/>
      <c r="C13" s="32" t="s">
        <v>63</v>
      </c>
      <c r="D13" s="33">
        <v>193046</v>
      </c>
      <c r="E13" s="33">
        <v>192355</v>
      </c>
      <c r="F13" s="33">
        <v>190227</v>
      </c>
      <c r="G13" s="33">
        <v>182955</v>
      </c>
      <c r="H13" s="33">
        <v>182308</v>
      </c>
      <c r="I13" s="33">
        <v>182089</v>
      </c>
      <c r="J13" s="33">
        <v>183873</v>
      </c>
      <c r="K13" s="33">
        <v>170914</v>
      </c>
      <c r="L13" s="33">
        <v>169468</v>
      </c>
      <c r="M13" s="33">
        <v>173218</v>
      </c>
      <c r="N13" s="33">
        <v>179438</v>
      </c>
      <c r="O13" s="33">
        <v>187895</v>
      </c>
      <c r="P13" s="33">
        <v>192293</v>
      </c>
      <c r="Q13" s="33">
        <v>197999</v>
      </c>
      <c r="R13" s="33">
        <v>204474</v>
      </c>
      <c r="S13" s="33">
        <v>220946</v>
      </c>
      <c r="T13" s="33">
        <v>236180</v>
      </c>
      <c r="U13" s="33">
        <v>231838</v>
      </c>
      <c r="V13" s="33">
        <v>230310</v>
      </c>
      <c r="W13" s="33">
        <v>212844</v>
      </c>
      <c r="X13" s="33">
        <v>209641</v>
      </c>
      <c r="Y13" s="33">
        <v>204353</v>
      </c>
      <c r="Z13" s="33">
        <v>202867</v>
      </c>
      <c r="AA13" s="33">
        <v>196811</v>
      </c>
      <c r="AB13" s="33">
        <v>195664</v>
      </c>
      <c r="AC13" s="33">
        <v>195160</v>
      </c>
      <c r="AD13" s="33">
        <v>200065</v>
      </c>
      <c r="AE13" s="33">
        <v>215334</v>
      </c>
      <c r="AF13" s="33">
        <v>217612</v>
      </c>
      <c r="AG13" s="33">
        <v>234741</v>
      </c>
      <c r="AH13" s="33">
        <v>239714</v>
      </c>
      <c r="AI13" s="33">
        <v>246619</v>
      </c>
      <c r="AJ13" s="33">
        <v>248354</v>
      </c>
      <c r="AL13" s="33">
        <f t="shared" si="7"/>
        <v>182955</v>
      </c>
      <c r="AM13" s="33">
        <f t="shared" si="8"/>
        <v>170914</v>
      </c>
      <c r="AN13" s="33">
        <f t="shared" si="9"/>
        <v>187895</v>
      </c>
      <c r="AO13" s="33">
        <f t="shared" si="5"/>
        <v>220946</v>
      </c>
      <c r="AP13" s="33">
        <f t="shared" si="6"/>
        <v>212844</v>
      </c>
      <c r="AQ13" s="33">
        <f t="shared" si="10"/>
        <v>196811</v>
      </c>
      <c r="AR13" s="33">
        <f t="shared" si="11"/>
        <v>215334</v>
      </c>
      <c r="AS13" s="33">
        <f t="shared" si="12"/>
        <v>246619</v>
      </c>
      <c r="AT13" s="33">
        <f t="shared" si="12"/>
        <v>248354</v>
      </c>
      <c r="AU13" s="149"/>
      <c r="AX13" s="148"/>
      <c r="AZ13" s="146"/>
    </row>
    <row r="14" spans="2:55" ht="12" customHeight="1" x14ac:dyDescent="0.2">
      <c r="B14" s="31"/>
      <c r="C14" s="32" t="s">
        <v>64</v>
      </c>
      <c r="D14" s="33"/>
      <c r="E14" s="33"/>
      <c r="F14" s="33"/>
      <c r="G14" s="33">
        <v>12385</v>
      </c>
      <c r="H14" s="33">
        <v>27180</v>
      </c>
      <c r="I14" s="33">
        <v>35851</v>
      </c>
      <c r="J14" s="33">
        <v>37259</v>
      </c>
      <c r="K14" s="33">
        <v>34220</v>
      </c>
      <c r="L14" s="33">
        <v>33802</v>
      </c>
      <c r="M14" s="33">
        <v>36881</v>
      </c>
      <c r="N14" s="33">
        <v>35522</v>
      </c>
      <c r="O14" s="33">
        <v>38587</v>
      </c>
      <c r="P14" s="33">
        <v>36283</v>
      </c>
      <c r="Q14" s="33">
        <v>33939</v>
      </c>
      <c r="R14" s="33">
        <v>34299</v>
      </c>
      <c r="S14" s="33">
        <v>34099</v>
      </c>
      <c r="T14" s="33">
        <v>34168</v>
      </c>
      <c r="U14" s="33">
        <v>44169</v>
      </c>
      <c r="V14" s="33">
        <v>47903</v>
      </c>
      <c r="W14" s="33">
        <v>46690</v>
      </c>
      <c r="X14" s="33">
        <v>47645</v>
      </c>
      <c r="Y14" s="33">
        <v>52427</v>
      </c>
      <c r="Z14" s="33">
        <v>50577</v>
      </c>
      <c r="AA14" s="33">
        <v>54800</v>
      </c>
      <c r="AB14" s="33">
        <v>56397</v>
      </c>
      <c r="AC14" s="33">
        <v>50762</v>
      </c>
      <c r="AD14" s="33">
        <v>48454</v>
      </c>
      <c r="AE14" s="33">
        <v>47386</v>
      </c>
      <c r="AF14" s="33">
        <v>45441</v>
      </c>
      <c r="AG14" s="33">
        <v>42366</v>
      </c>
      <c r="AH14" s="33">
        <v>45091</v>
      </c>
      <c r="AI14" s="33">
        <v>45627</v>
      </c>
      <c r="AJ14" s="33">
        <v>42984</v>
      </c>
      <c r="AL14" s="33">
        <f t="shared" si="7"/>
        <v>12385</v>
      </c>
      <c r="AM14" s="33">
        <f t="shared" si="8"/>
        <v>34220</v>
      </c>
      <c r="AN14" s="33">
        <f t="shared" si="9"/>
        <v>38587</v>
      </c>
      <c r="AO14" s="33">
        <f t="shared" si="5"/>
        <v>34099</v>
      </c>
      <c r="AP14" s="33">
        <f t="shared" si="6"/>
        <v>46690</v>
      </c>
      <c r="AQ14" s="33">
        <f t="shared" si="10"/>
        <v>54800</v>
      </c>
      <c r="AR14" s="33">
        <f t="shared" si="11"/>
        <v>47386</v>
      </c>
      <c r="AS14" s="33">
        <f t="shared" si="12"/>
        <v>45627</v>
      </c>
      <c r="AT14" s="33">
        <f t="shared" si="12"/>
        <v>42984</v>
      </c>
      <c r="AU14" s="149"/>
      <c r="AX14" s="148"/>
      <c r="AZ14" s="146"/>
    </row>
    <row r="15" spans="2:55" ht="12" customHeight="1" x14ac:dyDescent="0.2">
      <c r="B15" s="31"/>
      <c r="C15" s="32" t="s">
        <v>65</v>
      </c>
      <c r="D15" s="33"/>
      <c r="E15" s="33"/>
      <c r="F15" s="33"/>
      <c r="G15" s="33">
        <v>4876</v>
      </c>
      <c r="H15" s="33"/>
      <c r="I15" s="33"/>
      <c r="K15" s="33">
        <v>3250</v>
      </c>
      <c r="L15" s="33">
        <v>2845</v>
      </c>
      <c r="M15" s="33">
        <v>2438</v>
      </c>
      <c r="N15" s="33">
        <v>2032</v>
      </c>
      <c r="O15" s="33">
        <v>1625</v>
      </c>
      <c r="P15" s="33">
        <v>1219</v>
      </c>
      <c r="Q15" s="33">
        <v>813</v>
      </c>
      <c r="R15" s="33">
        <v>406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3">
        <v>0</v>
      </c>
      <c r="AI15" s="33">
        <v>0</v>
      </c>
      <c r="AJ15" s="33">
        <v>0</v>
      </c>
      <c r="AL15" s="33">
        <f t="shared" si="7"/>
        <v>4876</v>
      </c>
      <c r="AM15" s="33">
        <f t="shared" si="8"/>
        <v>3250</v>
      </c>
      <c r="AN15" s="33">
        <f t="shared" si="9"/>
        <v>1625</v>
      </c>
      <c r="AO15" s="33">
        <f t="shared" si="5"/>
        <v>0</v>
      </c>
      <c r="AP15" s="33">
        <f t="shared" si="6"/>
        <v>0</v>
      </c>
      <c r="AQ15" s="33">
        <f t="shared" si="10"/>
        <v>0</v>
      </c>
      <c r="AR15" s="33">
        <f t="shared" si="11"/>
        <v>0</v>
      </c>
      <c r="AS15" s="33">
        <f t="shared" si="12"/>
        <v>0</v>
      </c>
      <c r="AT15" s="33">
        <f t="shared" si="12"/>
        <v>0</v>
      </c>
      <c r="AU15" s="149"/>
      <c r="AX15" s="148"/>
      <c r="AZ15" s="146"/>
    </row>
    <row r="16" spans="2:55" ht="12" customHeight="1" x14ac:dyDescent="0.2">
      <c r="B16" s="31"/>
      <c r="C16" s="32" t="s">
        <v>66</v>
      </c>
      <c r="D16" s="33">
        <v>1361</v>
      </c>
      <c r="E16" s="33">
        <v>1367</v>
      </c>
      <c r="F16" s="33">
        <v>1362</v>
      </c>
      <c r="G16" s="33">
        <v>1405</v>
      </c>
      <c r="H16" s="33">
        <v>1403</v>
      </c>
      <c r="I16" s="33">
        <v>1404</v>
      </c>
      <c r="J16" s="33">
        <v>1410</v>
      </c>
      <c r="K16" s="33">
        <v>1502</v>
      </c>
      <c r="L16" s="33">
        <v>1499</v>
      </c>
      <c r="M16" s="33">
        <v>1499</v>
      </c>
      <c r="N16" s="33">
        <v>1499</v>
      </c>
      <c r="O16" s="33">
        <v>1441</v>
      </c>
      <c r="P16" s="33">
        <v>1449</v>
      </c>
      <c r="Q16" s="33">
        <v>1446</v>
      </c>
      <c r="R16" s="33">
        <v>1458</v>
      </c>
      <c r="S16" s="33">
        <v>1733</v>
      </c>
      <c r="T16" s="33">
        <v>1754</v>
      </c>
      <c r="U16" s="33">
        <v>1749</v>
      </c>
      <c r="V16" s="33">
        <v>1883</v>
      </c>
      <c r="W16" s="33">
        <v>2282</v>
      </c>
      <c r="X16" s="33">
        <v>2310</v>
      </c>
      <c r="Y16" s="33">
        <v>2243</v>
      </c>
      <c r="Z16" s="33">
        <v>2260</v>
      </c>
      <c r="AA16" s="33">
        <v>2234</v>
      </c>
      <c r="AB16" s="33">
        <v>2200</v>
      </c>
      <c r="AC16" s="33">
        <v>2214</v>
      </c>
      <c r="AD16" s="33">
        <v>2200</v>
      </c>
      <c r="AE16" s="33">
        <v>1019</v>
      </c>
      <c r="AF16" s="33">
        <v>1006</v>
      </c>
      <c r="AG16" s="33">
        <v>1028</v>
      </c>
      <c r="AH16" s="33">
        <v>381</v>
      </c>
      <c r="AI16" s="33">
        <v>422</v>
      </c>
      <c r="AJ16" s="33">
        <v>424</v>
      </c>
      <c r="AL16" s="33">
        <f t="shared" si="7"/>
        <v>1405</v>
      </c>
      <c r="AM16" s="33">
        <f t="shared" si="8"/>
        <v>1502</v>
      </c>
      <c r="AN16" s="33">
        <f t="shared" si="9"/>
        <v>1441</v>
      </c>
      <c r="AO16" s="33">
        <f t="shared" si="5"/>
        <v>1733</v>
      </c>
      <c r="AP16" s="33">
        <f t="shared" si="6"/>
        <v>2282</v>
      </c>
      <c r="AQ16" s="33">
        <f t="shared" si="10"/>
        <v>2234</v>
      </c>
      <c r="AR16" s="33">
        <f t="shared" si="11"/>
        <v>1019</v>
      </c>
      <c r="AS16" s="33">
        <f t="shared" si="12"/>
        <v>422</v>
      </c>
      <c r="AT16" s="33">
        <f t="shared" si="12"/>
        <v>424</v>
      </c>
      <c r="AU16" s="149"/>
      <c r="AX16" s="148"/>
      <c r="AZ16" s="146"/>
    </row>
    <row r="17" spans="2:54" ht="12" customHeight="1" x14ac:dyDescent="0.2">
      <c r="B17" s="31"/>
      <c r="C17" s="32" t="s">
        <v>67</v>
      </c>
      <c r="D17" s="33">
        <v>1717</v>
      </c>
      <c r="E17" s="33">
        <v>1910</v>
      </c>
      <c r="F17" s="33">
        <v>2249</v>
      </c>
      <c r="G17" s="33">
        <v>2782</v>
      </c>
      <c r="H17" s="33">
        <v>1800</v>
      </c>
      <c r="I17" s="33">
        <v>2219</v>
      </c>
      <c r="J17" s="33">
        <v>2947</v>
      </c>
      <c r="K17" s="33">
        <v>2540</v>
      </c>
      <c r="L17" s="33">
        <v>2522</v>
      </c>
      <c r="M17" s="33">
        <v>1487</v>
      </c>
      <c r="N17" s="33">
        <v>1755</v>
      </c>
      <c r="O17" s="33">
        <v>2048</v>
      </c>
      <c r="P17" s="33">
        <v>1026</v>
      </c>
      <c r="Q17" s="33">
        <v>1450</v>
      </c>
      <c r="R17" s="33">
        <v>2094</v>
      </c>
      <c r="S17" s="33">
        <v>2242</v>
      </c>
      <c r="T17" s="33">
        <v>475</v>
      </c>
      <c r="U17" s="33">
        <v>240</v>
      </c>
      <c r="V17" s="33">
        <v>234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L17" s="33">
        <f t="shared" si="7"/>
        <v>2782</v>
      </c>
      <c r="AM17" s="33">
        <f t="shared" si="8"/>
        <v>2540</v>
      </c>
      <c r="AN17" s="33">
        <f t="shared" si="9"/>
        <v>2048</v>
      </c>
      <c r="AO17" s="33">
        <f t="shared" si="5"/>
        <v>2242</v>
      </c>
      <c r="AP17" s="33">
        <f t="shared" si="6"/>
        <v>0</v>
      </c>
      <c r="AQ17" s="33">
        <f t="shared" si="10"/>
        <v>0</v>
      </c>
      <c r="AR17" s="33">
        <f t="shared" si="11"/>
        <v>0</v>
      </c>
      <c r="AS17" s="33">
        <f t="shared" si="12"/>
        <v>0</v>
      </c>
      <c r="AT17" s="33">
        <f t="shared" si="12"/>
        <v>0</v>
      </c>
      <c r="AU17" s="149"/>
      <c r="AX17" s="148"/>
      <c r="AZ17" s="146"/>
    </row>
    <row r="18" spans="2:54" s="38" customFormat="1" ht="12" customHeight="1" x14ac:dyDescent="0.2">
      <c r="B18" s="40"/>
      <c r="C18" s="41" t="s">
        <v>68</v>
      </c>
      <c r="D18" s="42">
        <f t="shared" ref="D18:F18" si="13">D19+D20</f>
        <v>142</v>
      </c>
      <c r="E18" s="42">
        <f t="shared" si="13"/>
        <v>16</v>
      </c>
      <c r="F18" s="42">
        <f t="shared" si="13"/>
        <v>36</v>
      </c>
      <c r="G18" s="42">
        <f>G19+G20</f>
        <v>82</v>
      </c>
      <c r="H18" s="42">
        <f t="shared" ref="H18:R18" si="14">H19+H20</f>
        <v>179</v>
      </c>
      <c r="I18" s="42">
        <f t="shared" si="14"/>
        <v>272</v>
      </c>
      <c r="J18" s="42">
        <f t="shared" si="14"/>
        <v>9</v>
      </c>
      <c r="K18" s="42">
        <f t="shared" si="14"/>
        <v>64</v>
      </c>
      <c r="L18" s="42">
        <f t="shared" si="14"/>
        <v>0</v>
      </c>
      <c r="M18" s="42">
        <f t="shared" si="14"/>
        <v>0</v>
      </c>
      <c r="N18" s="42">
        <f t="shared" si="14"/>
        <v>0</v>
      </c>
      <c r="O18" s="42">
        <f t="shared" si="14"/>
        <v>0</v>
      </c>
      <c r="P18" s="42">
        <f t="shared" si="14"/>
        <v>0</v>
      </c>
      <c r="Q18" s="42">
        <f t="shared" si="14"/>
        <v>119</v>
      </c>
      <c r="R18" s="42">
        <f t="shared" si="14"/>
        <v>0</v>
      </c>
      <c r="S18" s="42">
        <f t="shared" ref="S18:V18" si="15">S19+S20</f>
        <v>247</v>
      </c>
      <c r="T18" s="42">
        <f t="shared" si="15"/>
        <v>363</v>
      </c>
      <c r="U18" s="42">
        <f t="shared" si="15"/>
        <v>83</v>
      </c>
      <c r="V18" s="42">
        <f t="shared" si="15"/>
        <v>0</v>
      </c>
      <c r="W18" s="42">
        <f t="shared" ref="W18:AD18" si="16">W19+W20</f>
        <v>1352</v>
      </c>
      <c r="X18" s="42">
        <f t="shared" si="16"/>
        <v>710</v>
      </c>
      <c r="Y18" s="42">
        <f t="shared" si="16"/>
        <v>0</v>
      </c>
      <c r="Z18" s="42">
        <f t="shared" si="16"/>
        <v>0</v>
      </c>
      <c r="AA18" s="42">
        <f t="shared" si="16"/>
        <v>0</v>
      </c>
      <c r="AB18" s="42">
        <f t="shared" si="16"/>
        <v>356</v>
      </c>
      <c r="AC18" s="42">
        <f t="shared" si="16"/>
        <v>0</v>
      </c>
      <c r="AD18" s="42">
        <f t="shared" si="16"/>
        <v>0</v>
      </c>
      <c r="AE18" s="42">
        <f t="shared" ref="AE18:AI18" si="17">AE19+AE20</f>
        <v>0</v>
      </c>
      <c r="AF18" s="42">
        <f t="shared" si="17"/>
        <v>0</v>
      </c>
      <c r="AG18" s="42">
        <f t="shared" si="17"/>
        <v>0</v>
      </c>
      <c r="AH18" s="42">
        <f t="shared" si="17"/>
        <v>0</v>
      </c>
      <c r="AI18" s="42">
        <f t="shared" si="17"/>
        <v>0</v>
      </c>
      <c r="AJ18" s="42">
        <f t="shared" ref="AJ18" si="18">AJ19+AJ20</f>
        <v>0</v>
      </c>
      <c r="AL18" s="42">
        <f t="shared" si="7"/>
        <v>82</v>
      </c>
      <c r="AM18" s="42">
        <f t="shared" si="8"/>
        <v>64</v>
      </c>
      <c r="AN18" s="42">
        <f t="shared" si="9"/>
        <v>0</v>
      </c>
      <c r="AO18" s="42">
        <f t="shared" si="5"/>
        <v>247</v>
      </c>
      <c r="AP18" s="42">
        <f t="shared" si="6"/>
        <v>1352</v>
      </c>
      <c r="AQ18" s="42">
        <f t="shared" si="10"/>
        <v>0</v>
      </c>
      <c r="AR18" s="42">
        <f t="shared" si="11"/>
        <v>0</v>
      </c>
      <c r="AS18" s="42">
        <f t="shared" si="12"/>
        <v>0</v>
      </c>
      <c r="AT18" s="42">
        <f t="shared" si="12"/>
        <v>0</v>
      </c>
      <c r="AU18" s="149"/>
      <c r="AV18" s="29"/>
      <c r="AX18" s="148"/>
      <c r="AY18" s="146"/>
      <c r="AZ18" s="146"/>
      <c r="BA18" s="29"/>
      <c r="BB18" s="29"/>
    </row>
    <row r="19" spans="2:54" ht="12" customHeight="1" x14ac:dyDescent="0.2">
      <c r="B19" s="34"/>
      <c r="C19" s="35" t="s">
        <v>69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/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L19" s="36">
        <f t="shared" si="7"/>
        <v>0</v>
      </c>
      <c r="AM19" s="36">
        <f t="shared" si="8"/>
        <v>0</v>
      </c>
      <c r="AN19" s="36">
        <f t="shared" si="9"/>
        <v>0</v>
      </c>
      <c r="AO19" s="36">
        <f t="shared" si="5"/>
        <v>0</v>
      </c>
      <c r="AP19" s="36">
        <f t="shared" si="6"/>
        <v>0</v>
      </c>
      <c r="AQ19" s="36">
        <f t="shared" si="10"/>
        <v>0</v>
      </c>
      <c r="AR19" s="36">
        <f t="shared" si="11"/>
        <v>0</v>
      </c>
      <c r="AS19" s="36">
        <f t="shared" si="12"/>
        <v>0</v>
      </c>
      <c r="AT19" s="36">
        <f t="shared" si="12"/>
        <v>0</v>
      </c>
      <c r="AU19" s="149"/>
      <c r="AV19" s="38"/>
      <c r="AX19" s="148"/>
      <c r="AZ19" s="146"/>
    </row>
    <row r="20" spans="2:54" ht="12" customHeight="1" x14ac:dyDescent="0.2">
      <c r="B20" s="34"/>
      <c r="C20" s="35" t="s">
        <v>70</v>
      </c>
      <c r="D20" s="36">
        <v>142</v>
      </c>
      <c r="E20" s="36">
        <v>16</v>
      </c>
      <c r="F20" s="36">
        <v>36</v>
      </c>
      <c r="G20" s="36">
        <v>82</v>
      </c>
      <c r="H20" s="36">
        <v>179</v>
      </c>
      <c r="I20" s="36">
        <v>272</v>
      </c>
      <c r="J20" s="36">
        <v>9</v>
      </c>
      <c r="K20" s="36">
        <v>64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119</v>
      </c>
      <c r="R20" s="36">
        <v>0</v>
      </c>
      <c r="S20" s="36">
        <v>247</v>
      </c>
      <c r="T20" s="36">
        <v>363</v>
      </c>
      <c r="U20" s="36">
        <v>83</v>
      </c>
      <c r="V20" s="36">
        <v>0</v>
      </c>
      <c r="W20" s="36">
        <v>1352</v>
      </c>
      <c r="X20" s="36">
        <v>710</v>
      </c>
      <c r="Y20" s="36">
        <v>0</v>
      </c>
      <c r="Z20" s="36">
        <v>0</v>
      </c>
      <c r="AA20" s="36"/>
      <c r="AB20" s="36">
        <v>356</v>
      </c>
      <c r="AC20" s="36">
        <v>0</v>
      </c>
      <c r="AD20" s="36"/>
      <c r="AE20" s="36"/>
      <c r="AF20" s="36"/>
      <c r="AG20" s="36">
        <v>0</v>
      </c>
      <c r="AH20" s="36">
        <v>0</v>
      </c>
      <c r="AI20" s="36">
        <v>0</v>
      </c>
      <c r="AJ20" s="36">
        <v>0</v>
      </c>
      <c r="AL20" s="36">
        <f t="shared" si="7"/>
        <v>82</v>
      </c>
      <c r="AM20" s="36">
        <f t="shared" si="8"/>
        <v>64</v>
      </c>
      <c r="AN20" s="36">
        <f t="shared" si="9"/>
        <v>0</v>
      </c>
      <c r="AO20" s="36">
        <f t="shared" si="5"/>
        <v>247</v>
      </c>
      <c r="AP20" s="36">
        <f t="shared" si="6"/>
        <v>1352</v>
      </c>
      <c r="AQ20" s="36">
        <f t="shared" si="10"/>
        <v>0</v>
      </c>
      <c r="AR20" s="36">
        <f t="shared" si="11"/>
        <v>0</v>
      </c>
      <c r="AS20" s="36">
        <f t="shared" si="12"/>
        <v>0</v>
      </c>
      <c r="AT20" s="36">
        <f t="shared" si="12"/>
        <v>0</v>
      </c>
      <c r="AU20" s="149"/>
      <c r="AX20" s="148"/>
      <c r="AZ20" s="146"/>
    </row>
    <row r="21" spans="2:54" s="38" customFormat="1" ht="12" customHeight="1" x14ac:dyDescent="0.2">
      <c r="B21" s="40"/>
      <c r="C21" s="41" t="s">
        <v>71</v>
      </c>
      <c r="D21" s="42">
        <f t="shared" ref="D21:F21" si="19">SUM(D22:D23)</f>
        <v>0</v>
      </c>
      <c r="E21" s="42">
        <f t="shared" si="19"/>
        <v>0</v>
      </c>
      <c r="F21" s="42">
        <f t="shared" si="19"/>
        <v>0</v>
      </c>
      <c r="G21" s="42">
        <f>SUM(G22:G23)</f>
        <v>0</v>
      </c>
      <c r="H21" s="42">
        <f t="shared" ref="H21:R21" si="20">SUM(H22:H23)</f>
        <v>0</v>
      </c>
      <c r="I21" s="42">
        <f t="shared" si="20"/>
        <v>0</v>
      </c>
      <c r="J21" s="42">
        <f t="shared" si="20"/>
        <v>0</v>
      </c>
      <c r="K21" s="42">
        <f t="shared" si="20"/>
        <v>0</v>
      </c>
      <c r="L21" s="42">
        <f t="shared" si="20"/>
        <v>0</v>
      </c>
      <c r="M21" s="42">
        <f t="shared" si="20"/>
        <v>0</v>
      </c>
      <c r="N21" s="42">
        <f t="shared" si="20"/>
        <v>0</v>
      </c>
      <c r="O21" s="42">
        <f t="shared" si="20"/>
        <v>0</v>
      </c>
      <c r="P21" s="42">
        <f t="shared" si="20"/>
        <v>0</v>
      </c>
      <c r="Q21" s="42">
        <f t="shared" si="20"/>
        <v>0</v>
      </c>
      <c r="R21" s="42">
        <f t="shared" si="20"/>
        <v>0</v>
      </c>
      <c r="S21" s="42">
        <f t="shared" ref="S21:V21" si="21">SUM(S22:S23)</f>
        <v>0</v>
      </c>
      <c r="T21" s="42">
        <f t="shared" si="21"/>
        <v>0</v>
      </c>
      <c r="U21" s="42">
        <f t="shared" si="21"/>
        <v>0</v>
      </c>
      <c r="V21" s="42">
        <f t="shared" si="21"/>
        <v>0</v>
      </c>
      <c r="W21" s="42">
        <f t="shared" ref="W21:AD21" si="22">SUM(W22:W23)</f>
        <v>0</v>
      </c>
      <c r="X21" s="42">
        <f t="shared" si="22"/>
        <v>0</v>
      </c>
      <c r="Y21" s="42">
        <f t="shared" si="22"/>
        <v>0</v>
      </c>
      <c r="Z21" s="42">
        <f t="shared" si="22"/>
        <v>0</v>
      </c>
      <c r="AA21" s="42">
        <f t="shared" si="22"/>
        <v>0</v>
      </c>
      <c r="AB21" s="42">
        <f t="shared" si="22"/>
        <v>0</v>
      </c>
      <c r="AC21" s="42">
        <f t="shared" si="22"/>
        <v>0</v>
      </c>
      <c r="AD21" s="42">
        <f t="shared" si="22"/>
        <v>0</v>
      </c>
      <c r="AE21" s="42">
        <f t="shared" ref="AE21:AI21" si="23">SUM(AE22:AE23)</f>
        <v>0</v>
      </c>
      <c r="AF21" s="42">
        <f t="shared" si="23"/>
        <v>0</v>
      </c>
      <c r="AG21" s="42">
        <f t="shared" si="23"/>
        <v>0</v>
      </c>
      <c r="AH21" s="42">
        <f t="shared" si="23"/>
        <v>0</v>
      </c>
      <c r="AI21" s="42">
        <f t="shared" si="23"/>
        <v>0</v>
      </c>
      <c r="AJ21" s="42">
        <f t="shared" ref="AJ21" si="24">SUM(AJ22:AJ23)</f>
        <v>0</v>
      </c>
      <c r="AL21" s="42">
        <f t="shared" si="7"/>
        <v>0</v>
      </c>
      <c r="AM21" s="42">
        <f t="shared" si="8"/>
        <v>0</v>
      </c>
      <c r="AN21" s="42">
        <f t="shared" si="9"/>
        <v>0</v>
      </c>
      <c r="AO21" s="42">
        <f t="shared" si="5"/>
        <v>0</v>
      </c>
      <c r="AP21" s="42">
        <f t="shared" si="6"/>
        <v>0</v>
      </c>
      <c r="AQ21" s="42">
        <f t="shared" si="10"/>
        <v>0</v>
      </c>
      <c r="AR21" s="42">
        <f t="shared" si="11"/>
        <v>0</v>
      </c>
      <c r="AS21" s="42">
        <f t="shared" si="12"/>
        <v>0</v>
      </c>
      <c r="AT21" s="42">
        <f t="shared" si="12"/>
        <v>0</v>
      </c>
      <c r="AU21" s="149"/>
      <c r="AV21" s="29"/>
      <c r="AX21" s="148"/>
      <c r="AY21" s="146"/>
      <c r="AZ21" s="146"/>
      <c r="BA21" s="29"/>
      <c r="BB21" s="29"/>
    </row>
    <row r="22" spans="2:54" ht="12" customHeight="1" x14ac:dyDescent="0.2">
      <c r="B22" s="34"/>
      <c r="C22" s="35" t="s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/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  <c r="AI22" s="36">
        <v>0</v>
      </c>
      <c r="AJ22" s="36">
        <v>0</v>
      </c>
      <c r="AL22" s="36">
        <f t="shared" si="7"/>
        <v>0</v>
      </c>
      <c r="AM22" s="36">
        <f t="shared" si="8"/>
        <v>0</v>
      </c>
      <c r="AN22" s="36">
        <f t="shared" si="9"/>
        <v>0</v>
      </c>
      <c r="AO22" s="36">
        <f t="shared" si="5"/>
        <v>0</v>
      </c>
      <c r="AP22" s="36">
        <f t="shared" si="6"/>
        <v>0</v>
      </c>
      <c r="AQ22" s="36">
        <f t="shared" si="10"/>
        <v>0</v>
      </c>
      <c r="AR22" s="36">
        <f t="shared" si="11"/>
        <v>0</v>
      </c>
      <c r="AS22" s="36">
        <f t="shared" si="12"/>
        <v>0</v>
      </c>
      <c r="AT22" s="36">
        <f t="shared" si="12"/>
        <v>0</v>
      </c>
      <c r="AU22" s="149"/>
      <c r="AV22" s="38"/>
      <c r="AX22" s="148"/>
      <c r="AZ22" s="146"/>
    </row>
    <row r="23" spans="2:54" ht="12" customHeight="1" x14ac:dyDescent="0.2">
      <c r="B23" s="34"/>
      <c r="C23" s="35" t="s">
        <v>2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/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L23" s="36">
        <f t="shared" si="7"/>
        <v>0</v>
      </c>
      <c r="AM23" s="36">
        <f t="shared" si="8"/>
        <v>0</v>
      </c>
      <c r="AN23" s="36">
        <f t="shared" si="9"/>
        <v>0</v>
      </c>
      <c r="AO23" s="36">
        <f t="shared" si="5"/>
        <v>0</v>
      </c>
      <c r="AP23" s="36">
        <f t="shared" si="6"/>
        <v>0</v>
      </c>
      <c r="AQ23" s="36">
        <f t="shared" si="10"/>
        <v>0</v>
      </c>
      <c r="AR23" s="36">
        <f t="shared" si="11"/>
        <v>0</v>
      </c>
      <c r="AS23" s="36">
        <f t="shared" si="12"/>
        <v>0</v>
      </c>
      <c r="AT23" s="36">
        <f t="shared" si="12"/>
        <v>0</v>
      </c>
      <c r="AU23" s="149"/>
      <c r="AX23" s="148"/>
      <c r="AZ23" s="146"/>
    </row>
    <row r="24" spans="2:54" s="38" customFormat="1" ht="12" customHeight="1" x14ac:dyDescent="0.2">
      <c r="B24" s="40"/>
      <c r="C24" s="41" t="s">
        <v>72</v>
      </c>
      <c r="D24" s="42">
        <f t="shared" ref="D24:F24" si="25">SUM(D25:D26)</f>
        <v>7763</v>
      </c>
      <c r="E24" s="42">
        <f t="shared" si="25"/>
        <v>7975</v>
      </c>
      <c r="F24" s="42">
        <f t="shared" si="25"/>
        <v>8601</v>
      </c>
      <c r="G24" s="42">
        <f>SUM(G25:G26)</f>
        <v>6433</v>
      </c>
      <c r="H24" s="42">
        <f t="shared" ref="H24:R24" si="26">SUM(H25:H26)</f>
        <v>6257</v>
      </c>
      <c r="I24" s="42">
        <f t="shared" si="26"/>
        <v>6259</v>
      </c>
      <c r="J24" s="42">
        <f t="shared" si="26"/>
        <v>8816</v>
      </c>
      <c r="K24" s="42">
        <f t="shared" si="26"/>
        <v>7327</v>
      </c>
      <c r="L24" s="42">
        <f t="shared" si="26"/>
        <v>6617</v>
      </c>
      <c r="M24" s="42">
        <f t="shared" si="26"/>
        <v>6511</v>
      </c>
      <c r="N24" s="42">
        <f t="shared" si="26"/>
        <v>6408</v>
      </c>
      <c r="O24" s="42">
        <f t="shared" si="26"/>
        <v>5777</v>
      </c>
      <c r="P24" s="42">
        <f t="shared" si="26"/>
        <v>5127</v>
      </c>
      <c r="Q24" s="42">
        <f t="shared" si="26"/>
        <v>5107</v>
      </c>
      <c r="R24" s="42">
        <f t="shared" si="26"/>
        <v>4792</v>
      </c>
      <c r="S24" s="42">
        <f t="shared" ref="S24:V24" si="27">SUM(S25:S26)</f>
        <v>4429</v>
      </c>
      <c r="T24" s="42">
        <f t="shared" si="27"/>
        <v>3928</v>
      </c>
      <c r="U24" s="42">
        <f t="shared" si="27"/>
        <v>5139</v>
      </c>
      <c r="V24" s="42">
        <f t="shared" si="27"/>
        <v>5231</v>
      </c>
      <c r="W24" s="42">
        <f t="shared" ref="W24:AD24" si="28">SUM(W25:W26)</f>
        <v>6437</v>
      </c>
      <c r="X24" s="42">
        <f t="shared" si="28"/>
        <v>5818</v>
      </c>
      <c r="Y24" s="42">
        <f t="shared" si="28"/>
        <v>5521</v>
      </c>
      <c r="Z24" s="42">
        <f t="shared" si="28"/>
        <v>5122</v>
      </c>
      <c r="AA24" s="42">
        <f t="shared" si="28"/>
        <v>3536</v>
      </c>
      <c r="AB24" s="42">
        <f t="shared" si="28"/>
        <v>3375</v>
      </c>
      <c r="AC24" s="42">
        <f t="shared" si="28"/>
        <v>3238</v>
      </c>
      <c r="AD24" s="42">
        <f t="shared" si="28"/>
        <v>2790</v>
      </c>
      <c r="AE24" s="42">
        <f t="shared" ref="AE24:AI24" si="29">SUM(AE25:AE26)</f>
        <v>2367</v>
      </c>
      <c r="AF24" s="42">
        <f t="shared" si="29"/>
        <v>2571</v>
      </c>
      <c r="AG24" s="42">
        <f t="shared" si="29"/>
        <v>2686</v>
      </c>
      <c r="AH24" s="42">
        <f t="shared" si="29"/>
        <v>2623</v>
      </c>
      <c r="AI24" s="42">
        <f t="shared" si="29"/>
        <v>3519</v>
      </c>
      <c r="AJ24" s="42">
        <f t="shared" ref="AJ24" si="30">SUM(AJ25:AJ26)</f>
        <v>3446</v>
      </c>
      <c r="AL24" s="42">
        <f t="shared" si="7"/>
        <v>6433</v>
      </c>
      <c r="AM24" s="42">
        <f t="shared" si="8"/>
        <v>7327</v>
      </c>
      <c r="AN24" s="42">
        <f t="shared" si="9"/>
        <v>5777</v>
      </c>
      <c r="AO24" s="42">
        <f t="shared" si="5"/>
        <v>4429</v>
      </c>
      <c r="AP24" s="42">
        <f t="shared" si="6"/>
        <v>6437</v>
      </c>
      <c r="AQ24" s="42">
        <f t="shared" si="10"/>
        <v>3536</v>
      </c>
      <c r="AR24" s="42">
        <f t="shared" si="11"/>
        <v>2367</v>
      </c>
      <c r="AS24" s="42">
        <f t="shared" si="12"/>
        <v>3519</v>
      </c>
      <c r="AT24" s="42">
        <f t="shared" si="12"/>
        <v>3446</v>
      </c>
      <c r="AU24" s="149"/>
      <c r="AV24" s="29"/>
      <c r="AX24" s="148"/>
      <c r="AY24" s="146"/>
      <c r="AZ24" s="146"/>
      <c r="BA24" s="29"/>
      <c r="BB24" s="29"/>
    </row>
    <row r="25" spans="2:54" ht="12" customHeight="1" x14ac:dyDescent="0.2">
      <c r="B25" s="34"/>
      <c r="C25" s="35" t="s">
        <v>55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L25" s="36">
        <f t="shared" si="7"/>
        <v>0</v>
      </c>
      <c r="AM25" s="36">
        <f t="shared" si="8"/>
        <v>0</v>
      </c>
      <c r="AN25" s="36">
        <f t="shared" si="9"/>
        <v>0</v>
      </c>
      <c r="AO25" s="36">
        <f t="shared" si="5"/>
        <v>0</v>
      </c>
      <c r="AP25" s="36">
        <f t="shared" si="6"/>
        <v>0</v>
      </c>
      <c r="AQ25" s="36">
        <f t="shared" si="10"/>
        <v>0</v>
      </c>
      <c r="AR25" s="36">
        <f t="shared" si="11"/>
        <v>0</v>
      </c>
      <c r="AS25" s="36">
        <f t="shared" si="12"/>
        <v>0</v>
      </c>
      <c r="AT25" s="36">
        <f t="shared" si="12"/>
        <v>0</v>
      </c>
      <c r="AU25" s="149"/>
      <c r="AV25" s="38"/>
      <c r="AX25" s="148"/>
      <c r="AZ25" s="146"/>
    </row>
    <row r="26" spans="2:54" ht="12" customHeight="1" x14ac:dyDescent="0.2">
      <c r="B26" s="34"/>
      <c r="C26" s="35" t="s">
        <v>56</v>
      </c>
      <c r="D26" s="36">
        <v>7763</v>
      </c>
      <c r="E26" s="36">
        <v>7975</v>
      </c>
      <c r="F26" s="36">
        <v>8601</v>
      </c>
      <c r="G26" s="36">
        <v>6433</v>
      </c>
      <c r="H26" s="36">
        <v>6257</v>
      </c>
      <c r="I26" s="36">
        <v>6259</v>
      </c>
      <c r="J26" s="36">
        <v>8816</v>
      </c>
      <c r="K26" s="36">
        <v>7327</v>
      </c>
      <c r="L26" s="36">
        <v>6617</v>
      </c>
      <c r="M26" s="36">
        <v>6511</v>
      </c>
      <c r="N26" s="36">
        <v>6408</v>
      </c>
      <c r="O26" s="36">
        <v>5777</v>
      </c>
      <c r="P26" s="36">
        <v>5127</v>
      </c>
      <c r="Q26" s="36">
        <v>5107</v>
      </c>
      <c r="R26" s="36">
        <v>4792</v>
      </c>
      <c r="S26" s="36">
        <v>4429</v>
      </c>
      <c r="T26" s="36">
        <v>3928</v>
      </c>
      <c r="U26" s="36">
        <v>5139</v>
      </c>
      <c r="V26" s="36">
        <v>5231</v>
      </c>
      <c r="W26" s="36">
        <v>6437</v>
      </c>
      <c r="X26" s="36">
        <v>5818</v>
      </c>
      <c r="Y26" s="36">
        <v>5521</v>
      </c>
      <c r="Z26" s="36">
        <v>5122</v>
      </c>
      <c r="AA26" s="36">
        <v>3536</v>
      </c>
      <c r="AB26" s="36">
        <v>3375</v>
      </c>
      <c r="AC26" s="36">
        <v>3238</v>
      </c>
      <c r="AD26" s="36">
        <v>2790</v>
      </c>
      <c r="AE26" s="36">
        <v>2367</v>
      </c>
      <c r="AF26" s="36">
        <v>2571</v>
      </c>
      <c r="AG26" s="36">
        <v>2686</v>
      </c>
      <c r="AH26" s="36">
        <v>2623</v>
      </c>
      <c r="AI26" s="36">
        <v>3519</v>
      </c>
      <c r="AJ26" s="36">
        <v>3446</v>
      </c>
      <c r="AL26" s="36">
        <f t="shared" si="7"/>
        <v>6433</v>
      </c>
      <c r="AM26" s="36">
        <f t="shared" si="8"/>
        <v>7327</v>
      </c>
      <c r="AN26" s="36">
        <f t="shared" si="9"/>
        <v>5777</v>
      </c>
      <c r="AO26" s="36">
        <f t="shared" si="5"/>
        <v>4429</v>
      </c>
      <c r="AP26" s="36">
        <f t="shared" si="6"/>
        <v>6437</v>
      </c>
      <c r="AQ26" s="36">
        <f t="shared" si="10"/>
        <v>3536</v>
      </c>
      <c r="AR26" s="36">
        <f t="shared" si="11"/>
        <v>2367</v>
      </c>
      <c r="AS26" s="36">
        <f t="shared" si="12"/>
        <v>3519</v>
      </c>
      <c r="AT26" s="36">
        <f t="shared" si="12"/>
        <v>3446</v>
      </c>
      <c r="AU26" s="149"/>
      <c r="AX26" s="148"/>
      <c r="AZ26" s="146"/>
    </row>
    <row r="27" spans="2:54" ht="12" customHeight="1" x14ac:dyDescent="0.2">
      <c r="B27" s="31"/>
      <c r="C27" s="32" t="s">
        <v>73</v>
      </c>
      <c r="D27" s="33">
        <v>50</v>
      </c>
      <c r="E27" s="33">
        <v>38</v>
      </c>
      <c r="F27" s="33">
        <v>45</v>
      </c>
      <c r="G27" s="33">
        <v>49</v>
      </c>
      <c r="H27" s="33">
        <v>43</v>
      </c>
      <c r="I27" s="33">
        <v>40</v>
      </c>
      <c r="J27" s="33">
        <v>41</v>
      </c>
      <c r="K27" s="33">
        <v>28</v>
      </c>
      <c r="L27" s="33">
        <v>34</v>
      </c>
      <c r="M27" s="33">
        <v>32</v>
      </c>
      <c r="N27" s="33">
        <v>79</v>
      </c>
      <c r="O27" s="33">
        <v>78</v>
      </c>
      <c r="P27" s="33">
        <v>78</v>
      </c>
      <c r="Q27" s="33">
        <v>105</v>
      </c>
      <c r="R27" s="33">
        <v>120</v>
      </c>
      <c r="S27" s="33">
        <v>96</v>
      </c>
      <c r="T27" s="33">
        <v>468</v>
      </c>
      <c r="U27" s="33">
        <v>463</v>
      </c>
      <c r="V27" s="33">
        <v>456</v>
      </c>
      <c r="W27" s="33">
        <v>55</v>
      </c>
      <c r="X27" s="33">
        <v>66</v>
      </c>
      <c r="Y27" s="33">
        <v>60</v>
      </c>
      <c r="Z27" s="33">
        <v>41</v>
      </c>
      <c r="AA27" s="33">
        <v>303</v>
      </c>
      <c r="AB27" s="33">
        <v>276</v>
      </c>
      <c r="AC27" s="33">
        <v>141</v>
      </c>
      <c r="AD27" s="33">
        <v>89</v>
      </c>
      <c r="AE27" s="33">
        <f t="shared" ref="AE27:AJ27" si="31">SUM(AE28:AE29)</f>
        <v>210</v>
      </c>
      <c r="AF27" s="33">
        <f t="shared" si="31"/>
        <v>198</v>
      </c>
      <c r="AG27" s="33">
        <f t="shared" si="31"/>
        <v>239</v>
      </c>
      <c r="AH27" s="33">
        <f t="shared" si="31"/>
        <v>209</v>
      </c>
      <c r="AI27" s="33">
        <f t="shared" si="31"/>
        <v>268</v>
      </c>
      <c r="AJ27" s="33">
        <f t="shared" si="31"/>
        <v>213</v>
      </c>
      <c r="AL27" s="33">
        <f t="shared" si="7"/>
        <v>49</v>
      </c>
      <c r="AM27" s="33">
        <f t="shared" si="8"/>
        <v>28</v>
      </c>
      <c r="AN27" s="33">
        <f t="shared" si="9"/>
        <v>78</v>
      </c>
      <c r="AO27" s="33">
        <f t="shared" si="5"/>
        <v>96</v>
      </c>
      <c r="AP27" s="33">
        <f t="shared" si="6"/>
        <v>55</v>
      </c>
      <c r="AQ27" s="33">
        <f t="shared" si="10"/>
        <v>303</v>
      </c>
      <c r="AR27" s="33">
        <f t="shared" si="11"/>
        <v>210</v>
      </c>
      <c r="AS27" s="33">
        <f t="shared" si="12"/>
        <v>268</v>
      </c>
      <c r="AT27" s="33">
        <f t="shared" si="12"/>
        <v>213</v>
      </c>
      <c r="AU27" s="149"/>
      <c r="AX27" s="148"/>
      <c r="AZ27" s="146"/>
    </row>
    <row r="28" spans="2:54" ht="12" customHeight="1" x14ac:dyDescent="0.2">
      <c r="B28" s="31"/>
      <c r="C28" s="35" t="s">
        <v>55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L28" s="33"/>
      <c r="AM28" s="33"/>
      <c r="AN28" s="33"/>
      <c r="AO28" s="33"/>
      <c r="AP28" s="33"/>
      <c r="AQ28" s="33"/>
      <c r="AR28" s="33">
        <f t="shared" si="11"/>
        <v>0</v>
      </c>
      <c r="AS28" s="33">
        <f t="shared" si="12"/>
        <v>0</v>
      </c>
      <c r="AT28" s="33">
        <f t="shared" si="12"/>
        <v>0</v>
      </c>
      <c r="AU28" s="149"/>
      <c r="AX28" s="148"/>
      <c r="AZ28" s="146"/>
    </row>
    <row r="29" spans="2:54" ht="12" customHeight="1" x14ac:dyDescent="0.2">
      <c r="B29" s="31"/>
      <c r="C29" s="35" t="s">
        <v>56</v>
      </c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>
        <v>210</v>
      </c>
      <c r="AF29" s="33">
        <v>198</v>
      </c>
      <c r="AG29" s="33">
        <v>239</v>
      </c>
      <c r="AH29" s="33">
        <v>209</v>
      </c>
      <c r="AI29" s="33">
        <v>268</v>
      </c>
      <c r="AJ29" s="33">
        <v>213</v>
      </c>
      <c r="AL29" s="33"/>
      <c r="AM29" s="33"/>
      <c r="AN29" s="33"/>
      <c r="AO29" s="33"/>
      <c r="AP29" s="33"/>
      <c r="AQ29" s="33"/>
      <c r="AR29" s="33">
        <f t="shared" si="11"/>
        <v>210</v>
      </c>
      <c r="AS29" s="33">
        <f t="shared" si="12"/>
        <v>268</v>
      </c>
      <c r="AT29" s="33">
        <f t="shared" si="12"/>
        <v>213</v>
      </c>
      <c r="AU29" s="149"/>
      <c r="AX29" s="148"/>
      <c r="AZ29" s="146"/>
    </row>
    <row r="30" spans="2:54" ht="12" customHeight="1" x14ac:dyDescent="0.2">
      <c r="B30" s="31"/>
      <c r="C30" s="32" t="s">
        <v>74</v>
      </c>
      <c r="D30" s="33">
        <v>41890</v>
      </c>
      <c r="E30" s="33">
        <v>42087</v>
      </c>
      <c r="F30" s="33">
        <v>37139</v>
      </c>
      <c r="G30" s="33">
        <v>33443</v>
      </c>
      <c r="H30" s="33">
        <v>32468</v>
      </c>
      <c r="I30" s="33">
        <v>34239</v>
      </c>
      <c r="J30" s="33">
        <v>34885</v>
      </c>
      <c r="K30" s="33">
        <v>33327</v>
      </c>
      <c r="L30" s="33">
        <v>33604</v>
      </c>
      <c r="M30" s="33">
        <v>31875</v>
      </c>
      <c r="N30" s="33">
        <v>31117</v>
      </c>
      <c r="O30" s="33">
        <v>30576</v>
      </c>
      <c r="P30" s="33">
        <v>33291</v>
      </c>
      <c r="Q30" s="33">
        <v>31494</v>
      </c>
      <c r="R30" s="33">
        <v>31662</v>
      </c>
      <c r="S30" s="33">
        <v>31255</v>
      </c>
      <c r="T30" s="33">
        <v>31687</v>
      </c>
      <c r="U30" s="33">
        <v>30663</v>
      </c>
      <c r="V30" s="33">
        <v>31751</v>
      </c>
      <c r="W30" s="33">
        <v>30213</v>
      </c>
      <c r="X30" s="33">
        <v>30057</v>
      </c>
      <c r="Y30" s="33">
        <v>21030</v>
      </c>
      <c r="Z30" s="33">
        <v>20150</v>
      </c>
      <c r="AA30" s="33">
        <v>20177</v>
      </c>
      <c r="AB30" s="33">
        <v>20161</v>
      </c>
      <c r="AC30" s="33">
        <v>17595</v>
      </c>
      <c r="AD30" s="33">
        <v>17444</v>
      </c>
      <c r="AE30" s="33">
        <v>23183</v>
      </c>
      <c r="AF30" s="33">
        <v>23522</v>
      </c>
      <c r="AG30" s="33">
        <v>19834</v>
      </c>
      <c r="AH30" s="33">
        <v>19966</v>
      </c>
      <c r="AI30" s="33">
        <v>30565</v>
      </c>
      <c r="AJ30" s="33">
        <v>28927</v>
      </c>
      <c r="AL30" s="33">
        <f t="shared" si="7"/>
        <v>33443</v>
      </c>
      <c r="AM30" s="33">
        <f t="shared" si="8"/>
        <v>33327</v>
      </c>
      <c r="AN30" s="33">
        <f t="shared" si="9"/>
        <v>30576</v>
      </c>
      <c r="AO30" s="33">
        <f t="shared" si="5"/>
        <v>31255</v>
      </c>
      <c r="AP30" s="33">
        <f t="shared" si="6"/>
        <v>30213</v>
      </c>
      <c r="AQ30" s="33">
        <f t="shared" si="10"/>
        <v>20177</v>
      </c>
      <c r="AR30" s="33">
        <f t="shared" si="11"/>
        <v>23183</v>
      </c>
      <c r="AS30" s="33">
        <f t="shared" si="12"/>
        <v>30565</v>
      </c>
      <c r="AT30" s="33">
        <f t="shared" si="12"/>
        <v>28927</v>
      </c>
      <c r="AU30" s="149"/>
      <c r="AX30" s="148"/>
      <c r="AZ30" s="146"/>
    </row>
    <row r="31" spans="2:54" ht="12" customHeight="1" x14ac:dyDescent="0.2">
      <c r="B31" s="218" t="s">
        <v>75</v>
      </c>
      <c r="C31" s="218"/>
      <c r="D31" s="39">
        <f t="shared" ref="D31:I31" si="32">SUM(D32:D34,D37:D39,D42,D45,D48:D53)</f>
        <v>368176</v>
      </c>
      <c r="E31" s="39">
        <f t="shared" si="32"/>
        <v>378676</v>
      </c>
      <c r="F31" s="39">
        <f t="shared" si="32"/>
        <v>381675</v>
      </c>
      <c r="G31" s="39">
        <f t="shared" si="32"/>
        <v>379246</v>
      </c>
      <c r="H31" s="39">
        <f t="shared" si="32"/>
        <v>404029</v>
      </c>
      <c r="I31" s="39">
        <f t="shared" si="32"/>
        <v>382078</v>
      </c>
      <c r="J31" s="39">
        <f>SUM(J32:J34,J37:J39,J42,J45,J48:J53)</f>
        <v>383404</v>
      </c>
      <c r="K31" s="39">
        <f>SUM(K32:K34,K37:K39,K42,K45,K48:K53)</f>
        <v>415473</v>
      </c>
      <c r="L31" s="39">
        <f t="shared" ref="L31:R31" si="33">SUM(L32:L34,L37:L39,L42,L45,L48:L53)</f>
        <v>431518</v>
      </c>
      <c r="M31" s="39">
        <f t="shared" si="33"/>
        <v>440259</v>
      </c>
      <c r="N31" s="39">
        <f t="shared" si="33"/>
        <v>438779</v>
      </c>
      <c r="O31" s="39">
        <f t="shared" si="33"/>
        <v>378338</v>
      </c>
      <c r="P31" s="39">
        <f t="shared" si="33"/>
        <v>448841</v>
      </c>
      <c r="Q31" s="39">
        <f t="shared" si="33"/>
        <v>460349</v>
      </c>
      <c r="R31" s="39">
        <f t="shared" si="33"/>
        <v>478308</v>
      </c>
      <c r="S31" s="39">
        <f t="shared" ref="S31:V31" si="34">SUM(S32:S34,S37:S39,S42,S45,S48:S53)</f>
        <v>467142</v>
      </c>
      <c r="T31" s="39">
        <f t="shared" si="34"/>
        <v>499220</v>
      </c>
      <c r="U31" s="39">
        <f t="shared" si="34"/>
        <v>504368</v>
      </c>
      <c r="V31" s="39">
        <f t="shared" si="34"/>
        <v>504662</v>
      </c>
      <c r="W31" s="39">
        <f t="shared" ref="W31:AD31" si="35">SUM(W32:W34,W37:W39,W42,W45,W48:W53)</f>
        <v>514068</v>
      </c>
      <c r="X31" s="39">
        <f t="shared" si="35"/>
        <v>536734</v>
      </c>
      <c r="Y31" s="39">
        <f t="shared" si="35"/>
        <v>538687</v>
      </c>
      <c r="Z31" s="39">
        <f t="shared" si="35"/>
        <v>552520</v>
      </c>
      <c r="AA31" s="39">
        <f t="shared" si="35"/>
        <v>482551</v>
      </c>
      <c r="AB31" s="39">
        <f t="shared" si="35"/>
        <v>491056</v>
      </c>
      <c r="AC31" s="39">
        <f t="shared" si="35"/>
        <v>488455</v>
      </c>
      <c r="AD31" s="39">
        <f t="shared" si="35"/>
        <v>489651</v>
      </c>
      <c r="AE31" s="39">
        <f t="shared" ref="AE31:AJ31" si="36">SUM(AE32:AE34,AE37:AE39,AE42,AE45,AE48:AE50,AE53)</f>
        <v>467410</v>
      </c>
      <c r="AF31" s="39">
        <f t="shared" si="36"/>
        <v>488692</v>
      </c>
      <c r="AG31" s="39">
        <f t="shared" si="36"/>
        <v>488513</v>
      </c>
      <c r="AH31" s="39">
        <f t="shared" si="36"/>
        <v>504789</v>
      </c>
      <c r="AI31" s="39">
        <f t="shared" si="36"/>
        <v>493696</v>
      </c>
      <c r="AJ31" s="39">
        <f t="shared" si="36"/>
        <v>531544</v>
      </c>
      <c r="AK31" s="161"/>
      <c r="AL31" s="39">
        <f t="shared" si="7"/>
        <v>379246</v>
      </c>
      <c r="AM31" s="39">
        <f t="shared" si="8"/>
        <v>415473</v>
      </c>
      <c r="AN31" s="39">
        <f t="shared" si="9"/>
        <v>378338</v>
      </c>
      <c r="AO31" s="39">
        <f t="shared" si="5"/>
        <v>467142</v>
      </c>
      <c r="AP31" s="39">
        <f t="shared" si="6"/>
        <v>514068</v>
      </c>
      <c r="AQ31" s="39">
        <f t="shared" si="10"/>
        <v>482551</v>
      </c>
      <c r="AR31" s="39">
        <f t="shared" si="11"/>
        <v>467410</v>
      </c>
      <c r="AS31" s="39">
        <f t="shared" si="12"/>
        <v>493696</v>
      </c>
      <c r="AT31" s="39">
        <f t="shared" si="12"/>
        <v>531544</v>
      </c>
      <c r="AU31" s="149"/>
      <c r="AV31" s="146"/>
      <c r="AX31" s="148"/>
      <c r="AZ31" s="146"/>
    </row>
    <row r="32" spans="2:54" ht="12" customHeight="1" x14ac:dyDescent="0.2">
      <c r="B32" s="31"/>
      <c r="C32" s="32" t="s">
        <v>76</v>
      </c>
      <c r="D32" s="33">
        <v>150735</v>
      </c>
      <c r="E32" s="33">
        <v>169849</v>
      </c>
      <c r="F32" s="33">
        <v>184546</v>
      </c>
      <c r="G32" s="33">
        <v>165625</v>
      </c>
      <c r="H32" s="33">
        <v>174776</v>
      </c>
      <c r="I32" s="33">
        <v>176258</v>
      </c>
      <c r="J32" s="33">
        <v>173235</v>
      </c>
      <c r="K32" s="33">
        <v>151698</v>
      </c>
      <c r="L32" s="33">
        <v>158017</v>
      </c>
      <c r="M32" s="33">
        <v>169153</v>
      </c>
      <c r="N32" s="33">
        <v>173602</v>
      </c>
      <c r="O32" s="33">
        <v>155074</v>
      </c>
      <c r="P32" s="33">
        <v>184000</v>
      </c>
      <c r="Q32" s="33">
        <v>218966</v>
      </c>
      <c r="R32" s="33">
        <v>237523</v>
      </c>
      <c r="S32" s="33">
        <v>238934</v>
      </c>
      <c r="T32" s="33">
        <v>259055</v>
      </c>
      <c r="U32" s="33">
        <v>270117</v>
      </c>
      <c r="V32" s="33">
        <v>272415</v>
      </c>
      <c r="W32" s="33">
        <v>251617</v>
      </c>
      <c r="X32" s="33">
        <v>263887</v>
      </c>
      <c r="Y32" s="33">
        <v>286618</v>
      </c>
      <c r="Z32" s="33">
        <v>283044</v>
      </c>
      <c r="AA32" s="33">
        <v>242296</v>
      </c>
      <c r="AB32" s="33">
        <v>224588</v>
      </c>
      <c r="AC32" s="33">
        <v>220518</v>
      </c>
      <c r="AD32" s="33">
        <v>234819</v>
      </c>
      <c r="AE32" s="33">
        <v>225460</v>
      </c>
      <c r="AF32" s="33">
        <v>239527</v>
      </c>
      <c r="AG32" s="33">
        <v>254502</v>
      </c>
      <c r="AH32" s="33">
        <v>263203</v>
      </c>
      <c r="AI32" s="33">
        <v>245966</v>
      </c>
      <c r="AJ32" s="33">
        <v>245741</v>
      </c>
      <c r="AL32" s="33">
        <f t="shared" si="7"/>
        <v>165625</v>
      </c>
      <c r="AM32" s="33">
        <f t="shared" si="8"/>
        <v>151698</v>
      </c>
      <c r="AN32" s="33">
        <f t="shared" si="9"/>
        <v>155074</v>
      </c>
      <c r="AO32" s="33">
        <f t="shared" si="5"/>
        <v>238934</v>
      </c>
      <c r="AP32" s="33">
        <f t="shared" si="6"/>
        <v>251617</v>
      </c>
      <c r="AQ32" s="33">
        <f t="shared" si="10"/>
        <v>242296</v>
      </c>
      <c r="AR32" s="33">
        <f t="shared" si="11"/>
        <v>225460</v>
      </c>
      <c r="AS32" s="33">
        <f t="shared" si="12"/>
        <v>245966</v>
      </c>
      <c r="AT32" s="33">
        <f t="shared" si="12"/>
        <v>245741</v>
      </c>
      <c r="AU32" s="149"/>
      <c r="AX32" s="148"/>
      <c r="AZ32" s="146"/>
    </row>
    <row r="33" spans="2:54" ht="12" customHeight="1" x14ac:dyDescent="0.2">
      <c r="B33" s="31"/>
      <c r="C33" s="32" t="s">
        <v>65</v>
      </c>
      <c r="D33" s="33"/>
      <c r="E33" s="33"/>
      <c r="F33" s="33"/>
      <c r="G33" s="33">
        <v>1626</v>
      </c>
      <c r="H33" s="33">
        <v>6096</v>
      </c>
      <c r="I33" s="33">
        <v>5689</v>
      </c>
      <c r="J33" s="33">
        <v>5283</v>
      </c>
      <c r="K33" s="33">
        <v>11946</v>
      </c>
      <c r="L33" s="33">
        <v>11945</v>
      </c>
      <c r="M33" s="33">
        <v>11945</v>
      </c>
      <c r="N33" s="33">
        <v>4686</v>
      </c>
      <c r="O33" s="33">
        <v>1626</v>
      </c>
      <c r="P33" s="33">
        <v>1626</v>
      </c>
      <c r="Q33" s="33">
        <v>1625</v>
      </c>
      <c r="R33" s="33">
        <v>1626</v>
      </c>
      <c r="S33" s="33">
        <v>1626</v>
      </c>
      <c r="T33" s="33">
        <v>1219</v>
      </c>
      <c r="U33" s="33">
        <v>813</v>
      </c>
      <c r="V33" s="33">
        <v>406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L33" s="33">
        <f t="shared" si="7"/>
        <v>1626</v>
      </c>
      <c r="AM33" s="33">
        <f t="shared" si="8"/>
        <v>11946</v>
      </c>
      <c r="AN33" s="33">
        <f t="shared" si="9"/>
        <v>1626</v>
      </c>
      <c r="AO33" s="33">
        <f t="shared" si="5"/>
        <v>1626</v>
      </c>
      <c r="AP33" s="33">
        <f t="shared" si="6"/>
        <v>0</v>
      </c>
      <c r="AQ33" s="33">
        <f t="shared" si="10"/>
        <v>0</v>
      </c>
      <c r="AR33" s="33">
        <f t="shared" si="11"/>
        <v>0</v>
      </c>
      <c r="AS33" s="33">
        <f t="shared" si="12"/>
        <v>0</v>
      </c>
      <c r="AT33" s="33">
        <f t="shared" si="12"/>
        <v>0</v>
      </c>
      <c r="AU33" s="149"/>
      <c r="AV33" s="38"/>
      <c r="AX33" s="148"/>
      <c r="AZ33" s="146"/>
    </row>
    <row r="34" spans="2:54" s="38" customFormat="1" ht="12" customHeight="1" x14ac:dyDescent="0.2">
      <c r="B34" s="40"/>
      <c r="C34" s="41" t="s">
        <v>77</v>
      </c>
      <c r="D34" s="42">
        <f t="shared" ref="D34:F34" si="37">SUM(D35:D36)</f>
        <v>141778</v>
      </c>
      <c r="E34" s="42">
        <f t="shared" si="37"/>
        <v>154086</v>
      </c>
      <c r="F34" s="42">
        <f t="shared" si="37"/>
        <v>146643</v>
      </c>
      <c r="G34" s="42">
        <f>SUM(G35:G36)</f>
        <v>162428</v>
      </c>
      <c r="H34" s="42">
        <f t="shared" ref="H34:R34" si="38">SUM(H35:H36)</f>
        <v>161037</v>
      </c>
      <c r="I34" s="42">
        <f t="shared" si="38"/>
        <v>152107</v>
      </c>
      <c r="J34" s="42">
        <f>SUM(J35:J36)</f>
        <v>156194</v>
      </c>
      <c r="K34" s="42">
        <f t="shared" si="38"/>
        <v>160579</v>
      </c>
      <c r="L34" s="42">
        <f t="shared" si="38"/>
        <v>163867</v>
      </c>
      <c r="M34" s="42">
        <f t="shared" si="38"/>
        <v>174166</v>
      </c>
      <c r="N34" s="42">
        <f t="shared" si="38"/>
        <v>175539</v>
      </c>
      <c r="O34" s="42">
        <f t="shared" si="38"/>
        <v>147374</v>
      </c>
      <c r="P34" s="42">
        <f t="shared" si="38"/>
        <v>167996</v>
      </c>
      <c r="Q34" s="42">
        <f t="shared" si="38"/>
        <v>158824</v>
      </c>
      <c r="R34" s="42">
        <f t="shared" si="38"/>
        <v>160933</v>
      </c>
      <c r="S34" s="42">
        <f t="shared" ref="S34:V34" si="39">SUM(S35:S36)</f>
        <v>145998</v>
      </c>
      <c r="T34" s="42">
        <f t="shared" si="39"/>
        <v>156515</v>
      </c>
      <c r="U34" s="42">
        <f t="shared" si="39"/>
        <v>187602</v>
      </c>
      <c r="V34" s="42">
        <f t="shared" si="39"/>
        <v>181468</v>
      </c>
      <c r="W34" s="42">
        <f t="shared" ref="W34:AD34" si="40">SUM(W35:W36)</f>
        <v>189804</v>
      </c>
      <c r="X34" s="42">
        <f t="shared" si="40"/>
        <v>199789</v>
      </c>
      <c r="Y34" s="42">
        <f t="shared" si="40"/>
        <v>180117</v>
      </c>
      <c r="Z34" s="42">
        <f t="shared" si="40"/>
        <v>216678</v>
      </c>
      <c r="AA34" s="42">
        <f t="shared" si="40"/>
        <v>188117</v>
      </c>
      <c r="AB34" s="42">
        <f t="shared" si="40"/>
        <v>207587</v>
      </c>
      <c r="AC34" s="42">
        <f t="shared" si="40"/>
        <v>208913</v>
      </c>
      <c r="AD34" s="42">
        <f t="shared" si="40"/>
        <v>199892</v>
      </c>
      <c r="AE34" s="42">
        <f t="shared" ref="AE34:AI34" si="41">SUM(AE35:AE36)</f>
        <v>185495</v>
      </c>
      <c r="AF34" s="42">
        <f t="shared" si="41"/>
        <v>181714</v>
      </c>
      <c r="AG34" s="42">
        <f t="shared" si="41"/>
        <v>158247</v>
      </c>
      <c r="AH34" s="42">
        <f t="shared" si="41"/>
        <v>186020</v>
      </c>
      <c r="AI34" s="42">
        <f t="shared" si="41"/>
        <v>202928</v>
      </c>
      <c r="AJ34" s="42">
        <f t="shared" ref="AJ34" si="42">SUM(AJ35:AJ36)</f>
        <v>224665</v>
      </c>
      <c r="AL34" s="42">
        <f t="shared" si="7"/>
        <v>162428</v>
      </c>
      <c r="AM34" s="42">
        <f t="shared" si="8"/>
        <v>160579</v>
      </c>
      <c r="AN34" s="42">
        <f t="shared" si="9"/>
        <v>147374</v>
      </c>
      <c r="AO34" s="42">
        <f t="shared" si="5"/>
        <v>145998</v>
      </c>
      <c r="AP34" s="42">
        <f t="shared" si="6"/>
        <v>189804</v>
      </c>
      <c r="AQ34" s="42">
        <f t="shared" si="10"/>
        <v>188117</v>
      </c>
      <c r="AR34" s="42">
        <f t="shared" si="11"/>
        <v>185495</v>
      </c>
      <c r="AS34" s="42">
        <f t="shared" si="12"/>
        <v>202928</v>
      </c>
      <c r="AT34" s="42">
        <f t="shared" si="12"/>
        <v>224665</v>
      </c>
      <c r="AU34" s="149"/>
      <c r="AV34" s="29"/>
      <c r="AX34" s="148"/>
      <c r="AY34" s="146"/>
      <c r="AZ34" s="146"/>
      <c r="BA34" s="29"/>
      <c r="BB34" s="29"/>
    </row>
    <row r="35" spans="2:54" ht="12" customHeight="1" x14ac:dyDescent="0.2">
      <c r="B35" s="34"/>
      <c r="C35" s="35" t="s">
        <v>55</v>
      </c>
      <c r="D35" s="36">
        <v>3332</v>
      </c>
      <c r="E35" s="36">
        <v>3258</v>
      </c>
      <c r="F35" s="36">
        <v>2096</v>
      </c>
      <c r="G35" s="36">
        <v>823</v>
      </c>
      <c r="H35" s="36">
        <v>2686</v>
      </c>
      <c r="I35" s="36">
        <v>2009</v>
      </c>
      <c r="J35" s="36">
        <v>473</v>
      </c>
      <c r="K35" s="36">
        <v>2317</v>
      </c>
      <c r="L35" s="36">
        <v>3142</v>
      </c>
      <c r="M35" s="36">
        <v>2641</v>
      </c>
      <c r="N35" s="36">
        <v>3016</v>
      </c>
      <c r="O35" s="36">
        <v>4219</v>
      </c>
      <c r="P35" s="36">
        <v>3321</v>
      </c>
      <c r="Q35" s="36">
        <v>2146</v>
      </c>
      <c r="R35" s="36">
        <v>2739</v>
      </c>
      <c r="S35" s="36">
        <v>4657</v>
      </c>
      <c r="T35" s="36">
        <v>3511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J35" s="36">
        <v>170</v>
      </c>
      <c r="AL35" s="36">
        <f t="shared" si="7"/>
        <v>823</v>
      </c>
      <c r="AM35" s="36">
        <f t="shared" si="8"/>
        <v>2317</v>
      </c>
      <c r="AN35" s="36">
        <f t="shared" si="9"/>
        <v>4219</v>
      </c>
      <c r="AO35" s="36">
        <f t="shared" si="5"/>
        <v>4657</v>
      </c>
      <c r="AP35" s="36">
        <f t="shared" si="6"/>
        <v>0</v>
      </c>
      <c r="AQ35" s="36">
        <f t="shared" si="10"/>
        <v>0</v>
      </c>
      <c r="AR35" s="36">
        <f t="shared" si="11"/>
        <v>0</v>
      </c>
      <c r="AS35" s="36">
        <f t="shared" si="12"/>
        <v>0</v>
      </c>
      <c r="AT35" s="36">
        <f t="shared" si="12"/>
        <v>170</v>
      </c>
      <c r="AU35" s="149"/>
      <c r="AX35" s="148"/>
      <c r="AZ35" s="146"/>
    </row>
    <row r="36" spans="2:54" ht="12" customHeight="1" x14ac:dyDescent="0.2">
      <c r="B36" s="34"/>
      <c r="C36" s="35" t="s">
        <v>56</v>
      </c>
      <c r="D36" s="36">
        <v>138446</v>
      </c>
      <c r="E36" s="36">
        <v>150828</v>
      </c>
      <c r="F36" s="36">
        <v>144547</v>
      </c>
      <c r="G36" s="36">
        <v>161605</v>
      </c>
      <c r="H36" s="36">
        <v>158351</v>
      </c>
      <c r="I36" s="36">
        <v>150098</v>
      </c>
      <c r="J36" s="36">
        <v>155721</v>
      </c>
      <c r="K36" s="36">
        <v>158262</v>
      </c>
      <c r="L36" s="36">
        <v>160725</v>
      </c>
      <c r="M36" s="36">
        <v>171525</v>
      </c>
      <c r="N36" s="36">
        <v>172523</v>
      </c>
      <c r="O36" s="36">
        <v>143155</v>
      </c>
      <c r="P36" s="36">
        <v>164675</v>
      </c>
      <c r="Q36" s="36">
        <v>156678</v>
      </c>
      <c r="R36" s="36">
        <v>158194</v>
      </c>
      <c r="S36" s="36">
        <v>141341</v>
      </c>
      <c r="T36" s="36">
        <v>153004</v>
      </c>
      <c r="U36" s="36">
        <v>187602</v>
      </c>
      <c r="V36" s="36">
        <v>181468</v>
      </c>
      <c r="W36" s="36">
        <v>189804</v>
      </c>
      <c r="X36" s="36">
        <v>199789</v>
      </c>
      <c r="Y36" s="36">
        <v>180117</v>
      </c>
      <c r="Z36" s="36">
        <v>216678</v>
      </c>
      <c r="AA36" s="36">
        <v>188117</v>
      </c>
      <c r="AB36" s="36">
        <v>207587</v>
      </c>
      <c r="AC36" s="36">
        <v>208913</v>
      </c>
      <c r="AD36" s="36">
        <v>199892</v>
      </c>
      <c r="AE36" s="36">
        <v>185495</v>
      </c>
      <c r="AF36" s="36">
        <v>181714</v>
      </c>
      <c r="AG36" s="36">
        <v>158247</v>
      </c>
      <c r="AH36" s="36">
        <v>186020</v>
      </c>
      <c r="AI36" s="36">
        <v>202928</v>
      </c>
      <c r="AJ36" s="36">
        <v>224495</v>
      </c>
      <c r="AL36" s="36">
        <f t="shared" si="7"/>
        <v>161605</v>
      </c>
      <c r="AM36" s="36">
        <f t="shared" si="8"/>
        <v>158262</v>
      </c>
      <c r="AN36" s="36">
        <f t="shared" si="9"/>
        <v>143155</v>
      </c>
      <c r="AO36" s="36">
        <f t="shared" si="5"/>
        <v>141341</v>
      </c>
      <c r="AP36" s="36">
        <f t="shared" si="6"/>
        <v>189804</v>
      </c>
      <c r="AQ36" s="36">
        <f t="shared" si="10"/>
        <v>188117</v>
      </c>
      <c r="AR36" s="36">
        <f t="shared" si="11"/>
        <v>185495</v>
      </c>
      <c r="AS36" s="36">
        <f t="shared" si="12"/>
        <v>202928</v>
      </c>
      <c r="AT36" s="36">
        <f t="shared" si="12"/>
        <v>224495</v>
      </c>
      <c r="AU36" s="149"/>
      <c r="AX36" s="148"/>
      <c r="AZ36" s="146"/>
    </row>
    <row r="37" spans="2:54" ht="12" customHeight="1" x14ac:dyDescent="0.2">
      <c r="B37" s="34"/>
      <c r="C37" s="32" t="s">
        <v>78</v>
      </c>
      <c r="D37" s="33">
        <v>1894</v>
      </c>
      <c r="E37" s="33">
        <v>555</v>
      </c>
      <c r="F37" s="33">
        <v>622</v>
      </c>
      <c r="G37" s="33">
        <v>1370</v>
      </c>
      <c r="H37" s="33">
        <v>1232</v>
      </c>
      <c r="I37" s="33">
        <v>729</v>
      </c>
      <c r="J37" s="33">
        <v>612</v>
      </c>
      <c r="K37" s="33">
        <v>2551</v>
      </c>
      <c r="L37" s="33">
        <v>3226</v>
      </c>
      <c r="M37" s="33">
        <v>378</v>
      </c>
      <c r="N37" s="33">
        <v>3529</v>
      </c>
      <c r="O37" s="33">
        <v>4518</v>
      </c>
      <c r="P37" s="33">
        <v>642</v>
      </c>
      <c r="Q37" s="33">
        <v>487</v>
      </c>
      <c r="R37" s="33">
        <v>367</v>
      </c>
      <c r="S37" s="33">
        <v>1367</v>
      </c>
      <c r="T37" s="33">
        <v>1200</v>
      </c>
      <c r="U37" s="33">
        <v>2114</v>
      </c>
      <c r="V37" s="33">
        <v>4026</v>
      </c>
      <c r="W37" s="33">
        <v>5741</v>
      </c>
      <c r="X37" s="33">
        <v>5456</v>
      </c>
      <c r="Y37" s="33">
        <v>10391</v>
      </c>
      <c r="Z37" s="33">
        <v>5812</v>
      </c>
      <c r="AA37" s="33">
        <v>6285</v>
      </c>
      <c r="AB37" s="33">
        <v>6270</v>
      </c>
      <c r="AC37" s="33">
        <v>3246</v>
      </c>
      <c r="AD37" s="33">
        <v>38</v>
      </c>
      <c r="AE37" s="33">
        <v>1198</v>
      </c>
      <c r="AF37" s="33">
        <v>1016</v>
      </c>
      <c r="AG37" s="33">
        <v>1789</v>
      </c>
      <c r="AH37" s="33">
        <v>4741</v>
      </c>
      <c r="AI37" s="33">
        <v>3588</v>
      </c>
      <c r="AJ37" s="33">
        <v>2790</v>
      </c>
      <c r="AL37" s="33">
        <f t="shared" si="7"/>
        <v>1370</v>
      </c>
      <c r="AM37" s="33">
        <f t="shared" si="8"/>
        <v>2551</v>
      </c>
      <c r="AN37" s="33">
        <f t="shared" si="9"/>
        <v>4518</v>
      </c>
      <c r="AO37" s="33">
        <f t="shared" si="5"/>
        <v>1367</v>
      </c>
      <c r="AP37" s="33">
        <f t="shared" si="6"/>
        <v>5741</v>
      </c>
      <c r="AQ37" s="33">
        <f t="shared" si="10"/>
        <v>6285</v>
      </c>
      <c r="AR37" s="33">
        <f t="shared" si="11"/>
        <v>1198</v>
      </c>
      <c r="AS37" s="33">
        <f t="shared" si="12"/>
        <v>3588</v>
      </c>
      <c r="AT37" s="33">
        <f t="shared" si="12"/>
        <v>2790</v>
      </c>
      <c r="AU37" s="149"/>
      <c r="AX37" s="148"/>
      <c r="AZ37" s="146"/>
    </row>
    <row r="38" spans="2:54" ht="12" customHeight="1" x14ac:dyDescent="0.2">
      <c r="B38" s="31"/>
      <c r="C38" s="32" t="s">
        <v>79</v>
      </c>
      <c r="D38" s="33">
        <v>7609</v>
      </c>
      <c r="E38" s="33">
        <v>8957</v>
      </c>
      <c r="F38" s="33">
        <v>7875</v>
      </c>
      <c r="G38" s="33">
        <v>7756</v>
      </c>
      <c r="H38" s="33">
        <v>6178</v>
      </c>
      <c r="I38" s="33">
        <v>7161</v>
      </c>
      <c r="J38" s="33">
        <v>10047</v>
      </c>
      <c r="K38" s="33">
        <v>11406</v>
      </c>
      <c r="L38" s="33">
        <v>9328</v>
      </c>
      <c r="M38" s="33">
        <v>6003</v>
      </c>
      <c r="N38" s="33">
        <v>7233</v>
      </c>
      <c r="O38" s="33">
        <v>7299</v>
      </c>
      <c r="P38" s="33">
        <v>6008</v>
      </c>
      <c r="Q38" s="33">
        <v>11086</v>
      </c>
      <c r="R38" s="33">
        <v>7569</v>
      </c>
      <c r="S38" s="33">
        <v>9759</v>
      </c>
      <c r="T38" s="33">
        <v>14430</v>
      </c>
      <c r="U38" s="33">
        <v>11882</v>
      </c>
      <c r="V38" s="33">
        <v>12397</v>
      </c>
      <c r="W38" s="33">
        <v>12309</v>
      </c>
      <c r="X38" s="33">
        <v>11184</v>
      </c>
      <c r="Y38" s="33">
        <v>9007</v>
      </c>
      <c r="Z38" s="33">
        <v>7669</v>
      </c>
      <c r="AA38" s="33">
        <v>8780</v>
      </c>
      <c r="AB38" s="33">
        <v>14343</v>
      </c>
      <c r="AC38" s="33">
        <v>10378</v>
      </c>
      <c r="AD38" s="33">
        <v>11073</v>
      </c>
      <c r="AE38" s="33">
        <v>9804</v>
      </c>
      <c r="AF38" s="33">
        <v>9868</v>
      </c>
      <c r="AG38" s="33">
        <v>10219</v>
      </c>
      <c r="AH38" s="33">
        <v>7093</v>
      </c>
      <c r="AI38" s="33">
        <v>4040</v>
      </c>
      <c r="AJ38" s="33">
        <v>5993</v>
      </c>
      <c r="AL38" s="33">
        <f t="shared" si="7"/>
        <v>7756</v>
      </c>
      <c r="AM38" s="33">
        <f t="shared" si="8"/>
        <v>11406</v>
      </c>
      <c r="AN38" s="33">
        <f t="shared" si="9"/>
        <v>7299</v>
      </c>
      <c r="AO38" s="33">
        <f t="shared" si="5"/>
        <v>9759</v>
      </c>
      <c r="AP38" s="33">
        <f t="shared" si="6"/>
        <v>12309</v>
      </c>
      <c r="AQ38" s="33">
        <f t="shared" si="10"/>
        <v>8780</v>
      </c>
      <c r="AR38" s="33">
        <f t="shared" si="11"/>
        <v>9804</v>
      </c>
      <c r="AS38" s="33">
        <f t="shared" si="12"/>
        <v>4040</v>
      </c>
      <c r="AT38" s="33">
        <f t="shared" si="12"/>
        <v>5993</v>
      </c>
      <c r="AU38" s="149"/>
      <c r="AV38" s="38"/>
      <c r="AX38" s="148"/>
      <c r="AZ38" s="146"/>
    </row>
    <row r="39" spans="2:54" s="38" customFormat="1" ht="12" customHeight="1" x14ac:dyDescent="0.2">
      <c r="B39" s="40"/>
      <c r="C39" s="41" t="s">
        <v>80</v>
      </c>
      <c r="D39" s="42">
        <f t="shared" ref="D39:F39" si="43">SUM(D40:D41)</f>
        <v>6389</v>
      </c>
      <c r="E39" s="42">
        <f t="shared" si="43"/>
        <v>4517</v>
      </c>
      <c r="F39" s="42">
        <f t="shared" si="43"/>
        <v>3269</v>
      </c>
      <c r="G39" s="42">
        <f>SUM(G40:G41)</f>
        <v>2961</v>
      </c>
      <c r="H39" s="42">
        <f t="shared" ref="H39:R39" si="44">SUM(H40:H41)</f>
        <v>6302</v>
      </c>
      <c r="I39" s="42">
        <f t="shared" si="44"/>
        <v>5828</v>
      </c>
      <c r="J39" s="42">
        <f t="shared" si="44"/>
        <v>6002</v>
      </c>
      <c r="K39" s="42">
        <f t="shared" si="44"/>
        <v>7327</v>
      </c>
      <c r="L39" s="42">
        <f t="shared" si="44"/>
        <v>5061</v>
      </c>
      <c r="M39" s="42">
        <f t="shared" si="44"/>
        <v>7332</v>
      </c>
      <c r="N39" s="42">
        <f t="shared" si="44"/>
        <v>7013</v>
      </c>
      <c r="O39" s="42">
        <f t="shared" si="44"/>
        <v>4748</v>
      </c>
      <c r="P39" s="42">
        <f t="shared" si="44"/>
        <v>39298</v>
      </c>
      <c r="Q39" s="42">
        <f t="shared" si="44"/>
        <v>26264</v>
      </c>
      <c r="R39" s="42">
        <f t="shared" si="44"/>
        <v>25670</v>
      </c>
      <c r="S39" s="42">
        <f t="shared" ref="S39:V39" si="45">SUM(S40:S41)</f>
        <v>25901</v>
      </c>
      <c r="T39" s="42">
        <f t="shared" si="45"/>
        <v>26820</v>
      </c>
      <c r="U39" s="42">
        <f t="shared" si="45"/>
        <v>8207</v>
      </c>
      <c r="V39" s="42">
        <f t="shared" si="45"/>
        <v>7959</v>
      </c>
      <c r="W39" s="42">
        <f t="shared" ref="W39:AD39" si="46">SUM(W40:W41)</f>
        <v>6642</v>
      </c>
      <c r="X39" s="42">
        <f t="shared" si="46"/>
        <v>5858</v>
      </c>
      <c r="Y39" s="42">
        <f t="shared" si="46"/>
        <v>6342</v>
      </c>
      <c r="Z39" s="42">
        <f t="shared" si="46"/>
        <v>5448</v>
      </c>
      <c r="AA39" s="42">
        <f t="shared" si="46"/>
        <v>3293</v>
      </c>
      <c r="AB39" s="42">
        <f t="shared" si="46"/>
        <v>5466</v>
      </c>
      <c r="AC39" s="42">
        <f t="shared" si="46"/>
        <v>2344</v>
      </c>
      <c r="AD39" s="42">
        <f t="shared" si="46"/>
        <v>2670</v>
      </c>
      <c r="AE39" s="42">
        <f t="shared" ref="AE39:AI39" si="47">SUM(AE40:AE41)</f>
        <v>9421</v>
      </c>
      <c r="AF39" s="42">
        <f t="shared" si="47"/>
        <v>6964</v>
      </c>
      <c r="AG39" s="42">
        <f t="shared" si="47"/>
        <v>4803</v>
      </c>
      <c r="AH39" s="42">
        <f t="shared" si="47"/>
        <v>2919</v>
      </c>
      <c r="AI39" s="42">
        <f t="shared" si="47"/>
        <v>4602</v>
      </c>
      <c r="AJ39" s="42">
        <f t="shared" ref="AJ39" si="48">SUM(AJ40:AJ41)</f>
        <v>3816</v>
      </c>
      <c r="AL39" s="42">
        <f t="shared" si="7"/>
        <v>2961</v>
      </c>
      <c r="AM39" s="42">
        <f t="shared" si="8"/>
        <v>7327</v>
      </c>
      <c r="AN39" s="42">
        <f t="shared" si="9"/>
        <v>4748</v>
      </c>
      <c r="AO39" s="42">
        <f t="shared" si="5"/>
        <v>25901</v>
      </c>
      <c r="AP39" s="42">
        <f t="shared" si="6"/>
        <v>6642</v>
      </c>
      <c r="AQ39" s="42">
        <f t="shared" si="10"/>
        <v>3293</v>
      </c>
      <c r="AR39" s="42">
        <f t="shared" si="11"/>
        <v>9421</v>
      </c>
      <c r="AS39" s="42">
        <f t="shared" si="12"/>
        <v>4602</v>
      </c>
      <c r="AT39" s="42">
        <f t="shared" si="12"/>
        <v>3816</v>
      </c>
      <c r="AU39" s="149"/>
      <c r="AV39" s="29"/>
      <c r="AX39" s="148"/>
      <c r="AY39" s="146"/>
      <c r="AZ39" s="146"/>
      <c r="BA39" s="29"/>
      <c r="BB39" s="29"/>
    </row>
    <row r="40" spans="2:54" ht="12" customHeight="1" x14ac:dyDescent="0.2">
      <c r="B40" s="34"/>
      <c r="C40" s="35" t="s">
        <v>55</v>
      </c>
      <c r="D40" s="36">
        <v>0</v>
      </c>
      <c r="E40" s="36">
        <v>0</v>
      </c>
      <c r="F40" s="36">
        <v>0</v>
      </c>
      <c r="G40" s="36">
        <v>0</v>
      </c>
      <c r="H40" s="36">
        <v>1350</v>
      </c>
      <c r="I40" s="36">
        <v>0</v>
      </c>
      <c r="J40" s="36">
        <v>0</v>
      </c>
      <c r="K40" s="36">
        <v>0</v>
      </c>
      <c r="L40" s="36">
        <v>0</v>
      </c>
      <c r="M40" s="36">
        <v>1424</v>
      </c>
      <c r="N40" s="36">
        <v>312</v>
      </c>
      <c r="O40" s="36">
        <v>0</v>
      </c>
      <c r="P40" s="36">
        <v>1361</v>
      </c>
      <c r="Q40" s="36">
        <v>877</v>
      </c>
      <c r="R40" s="36">
        <v>0</v>
      </c>
      <c r="S40" s="36">
        <v>0</v>
      </c>
      <c r="T40" s="36">
        <v>991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0</v>
      </c>
      <c r="AJ40" s="36">
        <v>0</v>
      </c>
      <c r="AL40" s="36">
        <f t="shared" si="7"/>
        <v>0</v>
      </c>
      <c r="AM40" s="36">
        <f t="shared" si="8"/>
        <v>0</v>
      </c>
      <c r="AN40" s="36">
        <f t="shared" si="9"/>
        <v>0</v>
      </c>
      <c r="AO40" s="36">
        <f t="shared" si="5"/>
        <v>0</v>
      </c>
      <c r="AP40" s="36">
        <f t="shared" si="6"/>
        <v>0</v>
      </c>
      <c r="AQ40" s="36">
        <f t="shared" si="10"/>
        <v>0</v>
      </c>
      <c r="AR40" s="36">
        <f t="shared" si="11"/>
        <v>0</v>
      </c>
      <c r="AS40" s="36">
        <f t="shared" si="12"/>
        <v>0</v>
      </c>
      <c r="AT40" s="36">
        <f t="shared" si="12"/>
        <v>0</v>
      </c>
      <c r="AU40" s="149"/>
      <c r="AX40" s="148"/>
      <c r="AZ40" s="146"/>
    </row>
    <row r="41" spans="2:54" ht="12" customHeight="1" x14ac:dyDescent="0.2">
      <c r="B41" s="34"/>
      <c r="C41" s="35" t="s">
        <v>56</v>
      </c>
      <c r="D41" s="36">
        <v>6389</v>
      </c>
      <c r="E41" s="36">
        <v>4517</v>
      </c>
      <c r="F41" s="36">
        <v>3269</v>
      </c>
      <c r="G41" s="36">
        <v>2961</v>
      </c>
      <c r="H41" s="36">
        <v>4952</v>
      </c>
      <c r="I41" s="36">
        <v>5828</v>
      </c>
      <c r="J41" s="36">
        <v>6002</v>
      </c>
      <c r="K41" s="36">
        <v>7327</v>
      </c>
      <c r="L41" s="36">
        <v>5061</v>
      </c>
      <c r="M41" s="36">
        <v>5908</v>
      </c>
      <c r="N41" s="36">
        <v>6701</v>
      </c>
      <c r="O41" s="36">
        <v>4748</v>
      </c>
      <c r="P41" s="36">
        <v>37937</v>
      </c>
      <c r="Q41" s="36">
        <v>25387</v>
      </c>
      <c r="R41" s="36">
        <v>25670</v>
      </c>
      <c r="S41" s="36">
        <v>25901</v>
      </c>
      <c r="T41" s="36">
        <v>25829</v>
      </c>
      <c r="U41" s="36">
        <v>8207</v>
      </c>
      <c r="V41" s="36">
        <v>7959</v>
      </c>
      <c r="W41" s="36">
        <v>6642</v>
      </c>
      <c r="X41" s="36">
        <v>5858</v>
      </c>
      <c r="Y41" s="36">
        <v>6342</v>
      </c>
      <c r="Z41" s="36">
        <v>5448</v>
      </c>
      <c r="AA41" s="36">
        <v>3293</v>
      </c>
      <c r="AB41" s="36">
        <v>5466</v>
      </c>
      <c r="AC41" s="36">
        <v>2344</v>
      </c>
      <c r="AD41" s="36">
        <v>2670</v>
      </c>
      <c r="AE41" s="36">
        <v>9421</v>
      </c>
      <c r="AF41" s="36">
        <v>6964</v>
      </c>
      <c r="AG41" s="36">
        <v>4803</v>
      </c>
      <c r="AH41" s="36">
        <v>2919</v>
      </c>
      <c r="AI41" s="36">
        <v>4602</v>
      </c>
      <c r="AJ41" s="36">
        <v>3816</v>
      </c>
      <c r="AL41" s="36">
        <f t="shared" si="7"/>
        <v>2961</v>
      </c>
      <c r="AM41" s="36">
        <f t="shared" si="8"/>
        <v>7327</v>
      </c>
      <c r="AN41" s="36">
        <f t="shared" si="9"/>
        <v>4748</v>
      </c>
      <c r="AO41" s="36">
        <f t="shared" si="5"/>
        <v>25901</v>
      </c>
      <c r="AP41" s="36">
        <f t="shared" si="6"/>
        <v>6642</v>
      </c>
      <c r="AQ41" s="36">
        <f t="shared" si="10"/>
        <v>3293</v>
      </c>
      <c r="AR41" s="36">
        <f t="shared" si="11"/>
        <v>9421</v>
      </c>
      <c r="AS41" s="36">
        <f t="shared" si="12"/>
        <v>4602</v>
      </c>
      <c r="AT41" s="36">
        <f t="shared" si="12"/>
        <v>3816</v>
      </c>
      <c r="AU41" s="149"/>
      <c r="AV41" s="38"/>
      <c r="AX41" s="148"/>
      <c r="AZ41" s="146"/>
    </row>
    <row r="42" spans="2:54" s="38" customFormat="1" ht="12" customHeight="1" x14ac:dyDescent="0.2">
      <c r="B42" s="40"/>
      <c r="C42" s="41" t="s">
        <v>81</v>
      </c>
      <c r="D42" s="42">
        <f t="shared" ref="D42:F42" si="49">SUM(D43:D44)</f>
        <v>6934</v>
      </c>
      <c r="E42" s="42">
        <f t="shared" si="49"/>
        <v>2812</v>
      </c>
      <c r="F42" s="42">
        <f t="shared" si="49"/>
        <v>4555</v>
      </c>
      <c r="G42" s="42">
        <f>SUM(G43:G44)</f>
        <v>3238</v>
      </c>
      <c r="H42" s="42">
        <f t="shared" ref="H42:R42" si="50">SUM(H43:H44)</f>
        <v>3313</v>
      </c>
      <c r="I42" s="42">
        <f t="shared" si="50"/>
        <v>4783</v>
      </c>
      <c r="J42" s="42">
        <f t="shared" si="50"/>
        <v>2289</v>
      </c>
      <c r="K42" s="42">
        <f t="shared" si="50"/>
        <v>5654</v>
      </c>
      <c r="L42" s="42">
        <f t="shared" si="50"/>
        <v>2425</v>
      </c>
      <c r="M42" s="42">
        <f t="shared" si="50"/>
        <v>1185</v>
      </c>
      <c r="N42" s="42">
        <f t="shared" si="50"/>
        <v>627</v>
      </c>
      <c r="O42" s="42">
        <f t="shared" si="50"/>
        <v>69</v>
      </c>
      <c r="P42" s="42">
        <f t="shared" si="50"/>
        <v>642</v>
      </c>
      <c r="Q42" s="42">
        <f t="shared" si="50"/>
        <v>1259</v>
      </c>
      <c r="R42" s="42">
        <f t="shared" si="50"/>
        <v>524</v>
      </c>
      <c r="S42" s="42">
        <f t="shared" ref="S42:V42" si="51">SUM(S43:S44)</f>
        <v>226</v>
      </c>
      <c r="T42" s="42">
        <f t="shared" si="51"/>
        <v>448</v>
      </c>
      <c r="U42" s="42">
        <f t="shared" si="51"/>
        <v>378</v>
      </c>
      <c r="V42" s="42">
        <f t="shared" si="51"/>
        <v>0</v>
      </c>
      <c r="W42" s="42">
        <f t="shared" ref="W42:AD42" si="52">SUM(W43:W44)</f>
        <v>273</v>
      </c>
      <c r="X42" s="42">
        <f t="shared" si="52"/>
        <v>2134</v>
      </c>
      <c r="Y42" s="42">
        <f t="shared" si="52"/>
        <v>7172</v>
      </c>
      <c r="Z42" s="42">
        <f t="shared" si="52"/>
        <v>5077</v>
      </c>
      <c r="AA42" s="42">
        <f t="shared" si="52"/>
        <v>5152</v>
      </c>
      <c r="AB42" s="42">
        <f t="shared" si="52"/>
        <v>3732</v>
      </c>
      <c r="AC42" s="42">
        <f t="shared" si="52"/>
        <v>1781</v>
      </c>
      <c r="AD42" s="42">
        <f t="shared" si="52"/>
        <v>230</v>
      </c>
      <c r="AE42" s="42">
        <f t="shared" ref="AE42:AI42" si="53">SUM(AE43:AE44)</f>
        <v>1155</v>
      </c>
      <c r="AF42" s="42">
        <f t="shared" si="53"/>
        <v>1060</v>
      </c>
      <c r="AG42" s="42">
        <f t="shared" si="53"/>
        <v>864</v>
      </c>
      <c r="AH42" s="42">
        <f t="shared" si="53"/>
        <v>480</v>
      </c>
      <c r="AI42" s="42">
        <f t="shared" si="53"/>
        <v>716</v>
      </c>
      <c r="AJ42" s="42">
        <f t="shared" ref="AJ42" si="54">SUM(AJ43:AJ44)</f>
        <v>972</v>
      </c>
      <c r="AL42" s="42">
        <f t="shared" si="7"/>
        <v>3238</v>
      </c>
      <c r="AM42" s="42">
        <f t="shared" si="8"/>
        <v>5654</v>
      </c>
      <c r="AN42" s="42">
        <f t="shared" si="9"/>
        <v>69</v>
      </c>
      <c r="AO42" s="42">
        <f t="shared" si="5"/>
        <v>226</v>
      </c>
      <c r="AP42" s="42">
        <f t="shared" si="6"/>
        <v>273</v>
      </c>
      <c r="AQ42" s="42">
        <f t="shared" si="10"/>
        <v>5152</v>
      </c>
      <c r="AR42" s="42">
        <f t="shared" si="11"/>
        <v>1155</v>
      </c>
      <c r="AS42" s="42">
        <f t="shared" si="12"/>
        <v>716</v>
      </c>
      <c r="AT42" s="42">
        <f t="shared" si="12"/>
        <v>972</v>
      </c>
      <c r="AU42" s="149"/>
      <c r="AV42" s="29"/>
      <c r="AX42" s="148"/>
      <c r="AY42" s="146"/>
      <c r="AZ42" s="146"/>
      <c r="BA42" s="29"/>
      <c r="BB42" s="29"/>
    </row>
    <row r="43" spans="2:54" ht="12" customHeight="1" x14ac:dyDescent="0.2">
      <c r="B43" s="34"/>
      <c r="C43" s="35" t="s">
        <v>69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0</v>
      </c>
      <c r="AJ43" s="36">
        <v>0</v>
      </c>
      <c r="AL43" s="36">
        <f t="shared" si="7"/>
        <v>0</v>
      </c>
      <c r="AM43" s="36">
        <f t="shared" si="8"/>
        <v>0</v>
      </c>
      <c r="AN43" s="36">
        <f t="shared" si="9"/>
        <v>0</v>
      </c>
      <c r="AO43" s="36">
        <f t="shared" si="5"/>
        <v>0</v>
      </c>
      <c r="AP43" s="36">
        <f t="shared" si="6"/>
        <v>0</v>
      </c>
      <c r="AQ43" s="36">
        <f t="shared" si="10"/>
        <v>0</v>
      </c>
      <c r="AR43" s="36">
        <f t="shared" si="11"/>
        <v>0</v>
      </c>
      <c r="AS43" s="36">
        <f t="shared" ref="AS43:AT74" si="55">AI43</f>
        <v>0</v>
      </c>
      <c r="AT43" s="36">
        <f t="shared" si="55"/>
        <v>0</v>
      </c>
      <c r="AU43" s="149"/>
      <c r="AX43" s="148"/>
      <c r="AZ43" s="146"/>
    </row>
    <row r="44" spans="2:54" ht="12" customHeight="1" x14ac:dyDescent="0.2">
      <c r="B44" s="34"/>
      <c r="C44" s="35" t="s">
        <v>70</v>
      </c>
      <c r="D44" s="36">
        <v>6934</v>
      </c>
      <c r="E44" s="36">
        <v>2812</v>
      </c>
      <c r="F44" s="36">
        <v>4555</v>
      </c>
      <c r="G44" s="36">
        <v>3238</v>
      </c>
      <c r="H44" s="36">
        <v>3313</v>
      </c>
      <c r="I44" s="36">
        <v>4783</v>
      </c>
      <c r="J44" s="36">
        <v>2289</v>
      </c>
      <c r="K44" s="36">
        <v>5654</v>
      </c>
      <c r="L44" s="36">
        <v>2425</v>
      </c>
      <c r="M44" s="36">
        <v>1185</v>
      </c>
      <c r="N44" s="36">
        <v>627</v>
      </c>
      <c r="O44" s="36">
        <v>69</v>
      </c>
      <c r="P44" s="36">
        <v>642</v>
      </c>
      <c r="Q44" s="36">
        <v>1259</v>
      </c>
      <c r="R44" s="36">
        <v>524</v>
      </c>
      <c r="S44" s="36">
        <v>226</v>
      </c>
      <c r="T44" s="36">
        <v>448</v>
      </c>
      <c r="U44" s="36">
        <v>378</v>
      </c>
      <c r="V44" s="36">
        <v>0</v>
      </c>
      <c r="W44" s="36">
        <v>273</v>
      </c>
      <c r="X44" s="36">
        <v>2134</v>
      </c>
      <c r="Y44" s="36">
        <v>7172</v>
      </c>
      <c r="Z44" s="36">
        <v>5077</v>
      </c>
      <c r="AA44" s="36">
        <v>5152</v>
      </c>
      <c r="AB44" s="36">
        <v>3732</v>
      </c>
      <c r="AC44" s="36">
        <v>1781</v>
      </c>
      <c r="AD44" s="36">
        <v>230</v>
      </c>
      <c r="AE44" s="36">
        <v>1155</v>
      </c>
      <c r="AF44" s="36">
        <v>1060</v>
      </c>
      <c r="AG44" s="36">
        <v>864</v>
      </c>
      <c r="AH44" s="36">
        <v>480</v>
      </c>
      <c r="AI44" s="36">
        <v>716</v>
      </c>
      <c r="AJ44" s="36">
        <v>972</v>
      </c>
      <c r="AL44" s="36">
        <f t="shared" si="7"/>
        <v>3238</v>
      </c>
      <c r="AM44" s="36">
        <f t="shared" si="8"/>
        <v>5654</v>
      </c>
      <c r="AN44" s="36">
        <f t="shared" si="9"/>
        <v>69</v>
      </c>
      <c r="AO44" s="36">
        <f t="shared" si="5"/>
        <v>226</v>
      </c>
      <c r="AP44" s="36">
        <f t="shared" ref="AP44:AP78" si="56">W44</f>
        <v>273</v>
      </c>
      <c r="AQ44" s="36">
        <f t="shared" si="10"/>
        <v>5152</v>
      </c>
      <c r="AR44" s="36">
        <f t="shared" si="11"/>
        <v>1155</v>
      </c>
      <c r="AS44" s="36">
        <f t="shared" si="55"/>
        <v>716</v>
      </c>
      <c r="AT44" s="36">
        <f t="shared" si="55"/>
        <v>972</v>
      </c>
      <c r="AU44" s="149"/>
      <c r="AV44" s="38"/>
      <c r="AX44" s="148"/>
      <c r="AZ44" s="146"/>
    </row>
    <row r="45" spans="2:54" s="38" customFormat="1" ht="12" customHeight="1" x14ac:dyDescent="0.2">
      <c r="B45" s="40"/>
      <c r="C45" s="41" t="s">
        <v>82</v>
      </c>
      <c r="D45" s="42">
        <f t="shared" ref="D45:F45" si="57">D46+D47</f>
        <v>0</v>
      </c>
      <c r="E45" s="42">
        <f t="shared" si="57"/>
        <v>120</v>
      </c>
      <c r="F45" s="42">
        <f t="shared" si="57"/>
        <v>40</v>
      </c>
      <c r="G45" s="42">
        <f>G46+G47</f>
        <v>50</v>
      </c>
      <c r="H45" s="42">
        <f t="shared" ref="H45:R45" si="58">H46+H47</f>
        <v>50</v>
      </c>
      <c r="I45" s="42">
        <f t="shared" si="58"/>
        <v>50</v>
      </c>
      <c r="J45" s="42">
        <f t="shared" si="58"/>
        <v>0</v>
      </c>
      <c r="K45" s="42">
        <f t="shared" si="58"/>
        <v>0</v>
      </c>
      <c r="L45" s="42">
        <f t="shared" si="58"/>
        <v>0</v>
      </c>
      <c r="M45" s="42">
        <f t="shared" si="58"/>
        <v>0</v>
      </c>
      <c r="N45" s="42">
        <f t="shared" si="58"/>
        <v>0</v>
      </c>
      <c r="O45" s="42">
        <f t="shared" si="58"/>
        <v>0</v>
      </c>
      <c r="P45" s="42">
        <f t="shared" si="58"/>
        <v>0</v>
      </c>
      <c r="Q45" s="42">
        <f t="shared" si="58"/>
        <v>0</v>
      </c>
      <c r="R45" s="42">
        <f t="shared" si="58"/>
        <v>0</v>
      </c>
      <c r="S45" s="42">
        <f t="shared" ref="S45:AD45" si="59">S46+S47</f>
        <v>0</v>
      </c>
      <c r="T45" s="42">
        <f t="shared" si="59"/>
        <v>0</v>
      </c>
      <c r="U45" s="42">
        <f t="shared" si="59"/>
        <v>0</v>
      </c>
      <c r="V45" s="42">
        <f t="shared" si="59"/>
        <v>0</v>
      </c>
      <c r="W45" s="42">
        <f t="shared" si="59"/>
        <v>0</v>
      </c>
      <c r="X45" s="42">
        <f t="shared" si="59"/>
        <v>0</v>
      </c>
      <c r="Y45" s="42">
        <f t="shared" si="59"/>
        <v>0</v>
      </c>
      <c r="Z45" s="42">
        <f t="shared" si="59"/>
        <v>0</v>
      </c>
      <c r="AA45" s="42">
        <f t="shared" si="59"/>
        <v>0</v>
      </c>
      <c r="AB45" s="42">
        <f t="shared" si="59"/>
        <v>0</v>
      </c>
      <c r="AC45" s="42">
        <f t="shared" si="59"/>
        <v>0</v>
      </c>
      <c r="AD45" s="42">
        <f t="shared" si="59"/>
        <v>0</v>
      </c>
      <c r="AE45" s="42">
        <f t="shared" ref="AE45:AI45" si="60">AE46+AE47</f>
        <v>0</v>
      </c>
      <c r="AF45" s="42">
        <f t="shared" si="60"/>
        <v>0</v>
      </c>
      <c r="AG45" s="42">
        <f t="shared" si="60"/>
        <v>0</v>
      </c>
      <c r="AH45" s="42">
        <f t="shared" si="60"/>
        <v>0</v>
      </c>
      <c r="AI45" s="42">
        <f t="shared" si="60"/>
        <v>0</v>
      </c>
      <c r="AJ45" s="42">
        <f t="shared" ref="AJ45" si="61">AJ46+AJ47</f>
        <v>0</v>
      </c>
      <c r="AL45" s="42">
        <f t="shared" si="7"/>
        <v>50</v>
      </c>
      <c r="AM45" s="42">
        <f t="shared" si="8"/>
        <v>0</v>
      </c>
      <c r="AN45" s="42">
        <f t="shared" si="9"/>
        <v>0</v>
      </c>
      <c r="AO45" s="42">
        <f t="shared" si="5"/>
        <v>0</v>
      </c>
      <c r="AP45" s="42">
        <f t="shared" si="56"/>
        <v>0</v>
      </c>
      <c r="AQ45" s="42">
        <f t="shared" si="10"/>
        <v>0</v>
      </c>
      <c r="AR45" s="42">
        <f t="shared" si="11"/>
        <v>0</v>
      </c>
      <c r="AS45" s="42">
        <f t="shared" si="55"/>
        <v>0</v>
      </c>
      <c r="AT45" s="42">
        <f t="shared" si="55"/>
        <v>0</v>
      </c>
      <c r="AU45" s="149"/>
      <c r="AV45" s="29"/>
      <c r="AX45" s="148"/>
      <c r="AY45" s="146"/>
      <c r="AZ45" s="146"/>
      <c r="BA45" s="29"/>
      <c r="BB45" s="29"/>
    </row>
    <row r="46" spans="2:54" ht="12" customHeight="1" x14ac:dyDescent="0.2">
      <c r="B46" s="34"/>
      <c r="C46" s="35" t="s">
        <v>1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0</v>
      </c>
      <c r="AH46" s="36">
        <v>0</v>
      </c>
      <c r="AI46" s="36">
        <v>0</v>
      </c>
      <c r="AJ46" s="36">
        <v>0</v>
      </c>
      <c r="AL46" s="36">
        <f t="shared" si="7"/>
        <v>0</v>
      </c>
      <c r="AM46" s="36">
        <f t="shared" si="8"/>
        <v>0</v>
      </c>
      <c r="AN46" s="36">
        <f t="shared" si="9"/>
        <v>0</v>
      </c>
      <c r="AO46" s="36">
        <f t="shared" si="5"/>
        <v>0</v>
      </c>
      <c r="AP46" s="36">
        <f t="shared" si="56"/>
        <v>0</v>
      </c>
      <c r="AQ46" s="36">
        <f t="shared" si="10"/>
        <v>0</v>
      </c>
      <c r="AR46" s="36">
        <f t="shared" si="11"/>
        <v>0</v>
      </c>
      <c r="AS46" s="36">
        <f t="shared" si="55"/>
        <v>0</v>
      </c>
      <c r="AT46" s="36">
        <f t="shared" si="55"/>
        <v>0</v>
      </c>
      <c r="AU46" s="149"/>
      <c r="AX46" s="148"/>
      <c r="AZ46" s="146"/>
    </row>
    <row r="47" spans="2:54" ht="12" customHeight="1" x14ac:dyDescent="0.2">
      <c r="B47" s="34"/>
      <c r="C47" s="35" t="s">
        <v>2</v>
      </c>
      <c r="D47" s="36">
        <v>0</v>
      </c>
      <c r="E47" s="36">
        <v>120</v>
      </c>
      <c r="F47" s="36">
        <v>40</v>
      </c>
      <c r="G47" s="36">
        <v>50</v>
      </c>
      <c r="H47" s="36">
        <v>50</v>
      </c>
      <c r="I47" s="36">
        <v>50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36">
        <v>0</v>
      </c>
      <c r="AG47" s="36">
        <v>0</v>
      </c>
      <c r="AH47" s="36">
        <v>0</v>
      </c>
      <c r="AI47" s="36">
        <v>0</v>
      </c>
      <c r="AJ47" s="36">
        <v>0</v>
      </c>
      <c r="AL47" s="36">
        <f t="shared" si="7"/>
        <v>50</v>
      </c>
      <c r="AM47" s="36">
        <f t="shared" si="8"/>
        <v>0</v>
      </c>
      <c r="AN47" s="36">
        <f t="shared" si="9"/>
        <v>0</v>
      </c>
      <c r="AO47" s="36">
        <f t="shared" si="5"/>
        <v>0</v>
      </c>
      <c r="AP47" s="36">
        <f t="shared" si="56"/>
        <v>0</v>
      </c>
      <c r="AQ47" s="36">
        <f t="shared" si="10"/>
        <v>0</v>
      </c>
      <c r="AR47" s="36">
        <f t="shared" si="11"/>
        <v>0</v>
      </c>
      <c r="AS47" s="36">
        <f t="shared" si="55"/>
        <v>0</v>
      </c>
      <c r="AT47" s="36">
        <f t="shared" si="55"/>
        <v>0</v>
      </c>
      <c r="AU47" s="149"/>
      <c r="AX47" s="148"/>
      <c r="AZ47" s="146"/>
    </row>
    <row r="48" spans="2:54" ht="12" customHeight="1" x14ac:dyDescent="0.2">
      <c r="B48" s="31"/>
      <c r="C48" s="32" t="s">
        <v>83</v>
      </c>
      <c r="D48" s="33">
        <v>45066</v>
      </c>
      <c r="E48" s="33">
        <v>31011</v>
      </c>
      <c r="F48" s="33">
        <v>28612</v>
      </c>
      <c r="G48" s="33">
        <v>29331</v>
      </c>
      <c r="H48" s="33">
        <v>36787</v>
      </c>
      <c r="I48" s="33">
        <v>24897</v>
      </c>
      <c r="J48" s="33">
        <v>24636</v>
      </c>
      <c r="K48" s="33">
        <v>34322</v>
      </c>
      <c r="L48" s="33">
        <v>45537</v>
      </c>
      <c r="M48" s="33">
        <v>39778</v>
      </c>
      <c r="N48" s="33">
        <v>37822</v>
      </c>
      <c r="O48" s="33">
        <v>29251</v>
      </c>
      <c r="P48" s="33">
        <v>40235</v>
      </c>
      <c r="Q48" s="33">
        <v>34967</v>
      </c>
      <c r="R48" s="33">
        <v>37459</v>
      </c>
      <c r="S48" s="33">
        <v>36832</v>
      </c>
      <c r="T48" s="33">
        <v>30616</v>
      </c>
      <c r="U48" s="33">
        <v>15898</v>
      </c>
      <c r="V48" s="33">
        <v>19720</v>
      </c>
      <c r="W48" s="33">
        <v>28980</v>
      </c>
      <c r="X48" s="33">
        <v>26659</v>
      </c>
      <c r="Y48" s="33">
        <v>18616</v>
      </c>
      <c r="Z48" s="33">
        <v>21493</v>
      </c>
      <c r="AA48" s="33">
        <v>22939</v>
      </c>
      <c r="AB48" s="33">
        <v>19541</v>
      </c>
      <c r="AC48" s="33">
        <v>22235</v>
      </c>
      <c r="AD48" s="33">
        <v>19435</v>
      </c>
      <c r="AE48" s="33">
        <v>17716</v>
      </c>
      <c r="AF48" s="33">
        <v>24280</v>
      </c>
      <c r="AG48" s="33">
        <v>34312</v>
      </c>
      <c r="AH48" s="33">
        <v>22128</v>
      </c>
      <c r="AI48" s="33">
        <v>20425</v>
      </c>
      <c r="AJ48" s="33">
        <v>28493</v>
      </c>
      <c r="AL48" s="33">
        <f t="shared" si="7"/>
        <v>29331</v>
      </c>
      <c r="AM48" s="33">
        <f t="shared" si="8"/>
        <v>34322</v>
      </c>
      <c r="AN48" s="33">
        <f t="shared" si="9"/>
        <v>29251</v>
      </c>
      <c r="AO48" s="33">
        <f t="shared" si="5"/>
        <v>36832</v>
      </c>
      <c r="AP48" s="33">
        <f t="shared" si="56"/>
        <v>28980</v>
      </c>
      <c r="AQ48" s="33">
        <f t="shared" si="10"/>
        <v>22939</v>
      </c>
      <c r="AR48" s="33">
        <f t="shared" si="11"/>
        <v>17716</v>
      </c>
      <c r="AS48" s="33">
        <f t="shared" si="55"/>
        <v>20425</v>
      </c>
      <c r="AT48" s="33">
        <f t="shared" si="55"/>
        <v>28493</v>
      </c>
      <c r="AU48" s="149"/>
      <c r="AX48" s="148"/>
      <c r="AZ48" s="146"/>
    </row>
    <row r="49" spans="2:52" ht="12" customHeight="1" x14ac:dyDescent="0.2">
      <c r="B49" s="31"/>
      <c r="C49" s="32" t="s">
        <v>84</v>
      </c>
      <c r="D49" s="33"/>
      <c r="E49" s="33"/>
      <c r="F49" s="33"/>
      <c r="G49" s="33">
        <v>604</v>
      </c>
      <c r="H49" s="33">
        <v>517</v>
      </c>
      <c r="I49" s="33">
        <v>193</v>
      </c>
      <c r="J49" s="33">
        <v>417</v>
      </c>
      <c r="K49" s="33">
        <v>432</v>
      </c>
      <c r="L49" s="33">
        <v>486</v>
      </c>
      <c r="M49" s="33">
        <v>370</v>
      </c>
      <c r="N49" s="33">
        <v>396</v>
      </c>
      <c r="O49" s="33">
        <v>779</v>
      </c>
      <c r="P49" s="33">
        <v>759</v>
      </c>
      <c r="Q49" s="33">
        <v>672</v>
      </c>
      <c r="R49" s="33">
        <v>485</v>
      </c>
      <c r="S49" s="33">
        <v>556</v>
      </c>
      <c r="T49" s="33">
        <v>975</v>
      </c>
      <c r="U49" s="33">
        <v>677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L49" s="33">
        <f t="shared" si="7"/>
        <v>604</v>
      </c>
      <c r="AM49" s="33">
        <f t="shared" si="8"/>
        <v>432</v>
      </c>
      <c r="AN49" s="33">
        <f t="shared" si="9"/>
        <v>779</v>
      </c>
      <c r="AO49" s="33">
        <f t="shared" si="5"/>
        <v>556</v>
      </c>
      <c r="AP49" s="33">
        <f t="shared" si="56"/>
        <v>0</v>
      </c>
      <c r="AQ49" s="33">
        <f t="shared" si="10"/>
        <v>0</v>
      </c>
      <c r="AR49" s="33">
        <f t="shared" si="11"/>
        <v>0</v>
      </c>
      <c r="AS49" s="33">
        <f t="shared" si="55"/>
        <v>0</v>
      </c>
      <c r="AT49" s="33">
        <f t="shared" si="55"/>
        <v>0</v>
      </c>
      <c r="AU49" s="149"/>
      <c r="AX49" s="148"/>
      <c r="AZ49" s="146"/>
    </row>
    <row r="50" spans="2:52" ht="12" customHeight="1" x14ac:dyDescent="0.2">
      <c r="B50" s="31"/>
      <c r="C50" s="32" t="s">
        <v>85</v>
      </c>
      <c r="D50" s="33">
        <v>7068</v>
      </c>
      <c r="E50" s="33">
        <v>6232</v>
      </c>
      <c r="F50" s="33">
        <v>5020</v>
      </c>
      <c r="G50" s="33">
        <v>3811</v>
      </c>
      <c r="H50" s="33">
        <v>7621</v>
      </c>
      <c r="I50" s="33">
        <v>4383</v>
      </c>
      <c r="J50" s="33">
        <v>4689</v>
      </c>
      <c r="K50" s="33">
        <v>4783</v>
      </c>
      <c r="L50" s="33">
        <v>7496</v>
      </c>
      <c r="M50" s="33">
        <v>5819</v>
      </c>
      <c r="N50" s="33">
        <v>5131</v>
      </c>
      <c r="O50" s="33">
        <v>4399</v>
      </c>
      <c r="P50" s="33">
        <v>7635</v>
      </c>
      <c r="Q50" s="33">
        <v>6199</v>
      </c>
      <c r="R50" s="33">
        <v>6152</v>
      </c>
      <c r="S50" s="33">
        <v>5920</v>
      </c>
      <c r="T50" s="33">
        <v>7919</v>
      </c>
      <c r="U50" s="33">
        <v>6680</v>
      </c>
      <c r="V50" s="33">
        <v>6271</v>
      </c>
      <c r="W50" s="33">
        <v>5839</v>
      </c>
      <c r="X50" s="33">
        <v>8977</v>
      </c>
      <c r="Y50" s="33">
        <v>7707</v>
      </c>
      <c r="Z50" s="33">
        <v>7299</v>
      </c>
      <c r="AA50" s="33">
        <v>5689</v>
      </c>
      <c r="AB50" s="33">
        <v>9529</v>
      </c>
      <c r="AC50" s="33">
        <v>19040</v>
      </c>
      <c r="AD50" s="33">
        <v>21494</v>
      </c>
      <c r="AE50" s="33">
        <f t="shared" ref="AE50:AJ50" si="62">SUM(AE51:AE52)</f>
        <v>11208</v>
      </c>
      <c r="AF50" s="33">
        <f t="shared" si="62"/>
        <v>18310</v>
      </c>
      <c r="AG50" s="33">
        <f t="shared" si="62"/>
        <v>17824</v>
      </c>
      <c r="AH50" s="33">
        <f t="shared" si="62"/>
        <v>12252</v>
      </c>
      <c r="AI50" s="33">
        <f t="shared" si="62"/>
        <v>11431</v>
      </c>
      <c r="AJ50" s="33">
        <f t="shared" si="62"/>
        <v>19074</v>
      </c>
      <c r="AL50" s="33">
        <f t="shared" si="7"/>
        <v>3811</v>
      </c>
      <c r="AM50" s="33">
        <f t="shared" si="8"/>
        <v>4783</v>
      </c>
      <c r="AN50" s="33">
        <f t="shared" si="9"/>
        <v>4399</v>
      </c>
      <c r="AO50" s="33">
        <f t="shared" si="5"/>
        <v>5920</v>
      </c>
      <c r="AP50" s="33">
        <f t="shared" si="56"/>
        <v>5839</v>
      </c>
      <c r="AQ50" s="33">
        <f t="shared" si="10"/>
        <v>5689</v>
      </c>
      <c r="AR50" s="33">
        <f t="shared" si="11"/>
        <v>11208</v>
      </c>
      <c r="AS50" s="33">
        <f t="shared" si="55"/>
        <v>11431</v>
      </c>
      <c r="AT50" s="33">
        <f t="shared" si="55"/>
        <v>19074</v>
      </c>
      <c r="AU50" s="149"/>
      <c r="AX50" s="148"/>
      <c r="AZ50" s="146"/>
    </row>
    <row r="51" spans="2:52" ht="12" customHeight="1" x14ac:dyDescent="0.2">
      <c r="B51" s="31"/>
      <c r="C51" s="32" t="s">
        <v>55</v>
      </c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L51" s="33"/>
      <c r="AM51" s="33"/>
      <c r="AN51" s="33"/>
      <c r="AO51" s="33"/>
      <c r="AP51" s="33"/>
      <c r="AQ51" s="33"/>
      <c r="AR51" s="33">
        <f t="shared" ref="AR51:AR52" si="63">AE51</f>
        <v>0</v>
      </c>
      <c r="AS51" s="33">
        <f t="shared" si="55"/>
        <v>0</v>
      </c>
      <c r="AT51" s="33">
        <f t="shared" si="55"/>
        <v>0</v>
      </c>
      <c r="AU51" s="149"/>
      <c r="AX51" s="148"/>
      <c r="AZ51" s="146"/>
    </row>
    <row r="52" spans="2:52" ht="12" customHeight="1" x14ac:dyDescent="0.2">
      <c r="B52" s="31"/>
      <c r="C52" s="32" t="s">
        <v>56</v>
      </c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>
        <v>11208</v>
      </c>
      <c r="AF52" s="33">
        <v>18310</v>
      </c>
      <c r="AG52" s="33">
        <v>17824</v>
      </c>
      <c r="AH52" s="33">
        <v>12252</v>
      </c>
      <c r="AI52" s="33">
        <v>11431</v>
      </c>
      <c r="AJ52" s="33">
        <v>19074</v>
      </c>
      <c r="AL52" s="33"/>
      <c r="AM52" s="33"/>
      <c r="AN52" s="33"/>
      <c r="AO52" s="33"/>
      <c r="AP52" s="33"/>
      <c r="AQ52" s="33"/>
      <c r="AR52" s="33">
        <f t="shared" si="63"/>
        <v>11208</v>
      </c>
      <c r="AS52" s="33">
        <f t="shared" si="55"/>
        <v>11431</v>
      </c>
      <c r="AT52" s="33">
        <f t="shared" si="55"/>
        <v>19074</v>
      </c>
      <c r="AU52" s="149"/>
      <c r="AX52" s="148"/>
      <c r="AZ52" s="146"/>
    </row>
    <row r="53" spans="2:52" ht="12" customHeight="1" x14ac:dyDescent="0.2">
      <c r="B53" s="31"/>
      <c r="C53" s="32" t="s">
        <v>86</v>
      </c>
      <c r="D53" s="33">
        <v>703</v>
      </c>
      <c r="E53" s="33">
        <v>537</v>
      </c>
      <c r="F53" s="33">
        <v>493</v>
      </c>
      <c r="G53" s="33">
        <v>446</v>
      </c>
      <c r="H53" s="33">
        <v>120</v>
      </c>
      <c r="I53" s="33">
        <v>0</v>
      </c>
      <c r="J53" s="33">
        <v>0</v>
      </c>
      <c r="K53" s="33">
        <v>24775</v>
      </c>
      <c r="L53" s="33">
        <v>24130</v>
      </c>
      <c r="M53" s="33">
        <v>24130</v>
      </c>
      <c r="N53" s="33">
        <v>23201</v>
      </c>
      <c r="O53" s="33">
        <v>23201</v>
      </c>
      <c r="P53" s="33">
        <v>0</v>
      </c>
      <c r="Q53" s="33">
        <v>0</v>
      </c>
      <c r="R53" s="33">
        <v>0</v>
      </c>
      <c r="S53" s="33">
        <v>23</v>
      </c>
      <c r="T53" s="33">
        <v>23</v>
      </c>
      <c r="U53" s="33">
        <v>0</v>
      </c>
      <c r="V53" s="33">
        <v>0</v>
      </c>
      <c r="W53" s="33">
        <v>12863</v>
      </c>
      <c r="X53" s="33">
        <v>12790</v>
      </c>
      <c r="Y53" s="33">
        <v>12717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5953</v>
      </c>
      <c r="AF53" s="33">
        <v>5953</v>
      </c>
      <c r="AG53" s="33">
        <v>5953</v>
      </c>
      <c r="AH53" s="33">
        <v>5953</v>
      </c>
      <c r="AI53" s="33">
        <v>0</v>
      </c>
      <c r="AJ53" s="33">
        <v>0</v>
      </c>
      <c r="AL53" s="33">
        <f t="shared" si="7"/>
        <v>446</v>
      </c>
      <c r="AM53" s="33">
        <f t="shared" si="8"/>
        <v>24775</v>
      </c>
      <c r="AN53" s="33">
        <f t="shared" si="9"/>
        <v>23201</v>
      </c>
      <c r="AO53" s="33">
        <f t="shared" si="5"/>
        <v>23</v>
      </c>
      <c r="AP53" s="33">
        <f t="shared" si="56"/>
        <v>12863</v>
      </c>
      <c r="AQ53" s="33">
        <f t="shared" si="10"/>
        <v>0</v>
      </c>
      <c r="AR53" s="33">
        <f t="shared" ref="AR53:AR78" si="64">AE53</f>
        <v>5953</v>
      </c>
      <c r="AS53" s="33">
        <f t="shared" si="55"/>
        <v>0</v>
      </c>
      <c r="AT53" s="33">
        <f t="shared" si="55"/>
        <v>0</v>
      </c>
      <c r="AU53" s="149"/>
      <c r="AX53" s="148"/>
      <c r="AZ53" s="146"/>
    </row>
    <row r="54" spans="2:52" ht="12" customHeight="1" thickBot="1" x14ac:dyDescent="0.25">
      <c r="B54" s="221" t="s">
        <v>87</v>
      </c>
      <c r="C54" s="221"/>
      <c r="D54" s="43">
        <f t="shared" ref="D54:F54" si="65">SUM(D10,D31)</f>
        <v>828524</v>
      </c>
      <c r="E54" s="43">
        <f t="shared" si="65"/>
        <v>842284</v>
      </c>
      <c r="F54" s="43">
        <f t="shared" si="65"/>
        <v>837730</v>
      </c>
      <c r="G54" s="43">
        <f>SUM(G10,G31)</f>
        <v>839190</v>
      </c>
      <c r="H54" s="43">
        <f t="shared" ref="H54:N54" si="66">SUM(H10,H31)</f>
        <v>871987</v>
      </c>
      <c r="I54" s="43">
        <f t="shared" si="66"/>
        <v>860208</v>
      </c>
      <c r="J54" s="43">
        <f t="shared" si="66"/>
        <v>870728</v>
      </c>
      <c r="K54" s="43">
        <f t="shared" si="66"/>
        <v>887836</v>
      </c>
      <c r="L54" s="43">
        <f t="shared" si="66"/>
        <v>903974</v>
      </c>
      <c r="M54" s="43">
        <f t="shared" si="66"/>
        <v>913866</v>
      </c>
      <c r="N54" s="43">
        <f t="shared" si="66"/>
        <v>917301</v>
      </c>
      <c r="O54" s="43">
        <f t="shared" ref="O54:P54" si="67">SUM(O10,O31)</f>
        <v>874949</v>
      </c>
      <c r="P54" s="43">
        <f t="shared" si="67"/>
        <v>952018</v>
      </c>
      <c r="Q54" s="43">
        <f t="shared" ref="Q54:R54" si="68">SUM(Q10,Q31)</f>
        <v>964698</v>
      </c>
      <c r="R54" s="43">
        <f t="shared" si="68"/>
        <v>992103</v>
      </c>
      <c r="S54" s="43">
        <f t="shared" ref="S54:T54" si="69">SUM(S10,S31)</f>
        <v>999260</v>
      </c>
      <c r="T54" s="43">
        <f t="shared" si="69"/>
        <v>1046310</v>
      </c>
      <c r="U54" s="43">
        <f t="shared" ref="U54:V54" si="70">SUM(U10,U31)</f>
        <v>1058983</v>
      </c>
      <c r="V54" s="43">
        <f t="shared" si="70"/>
        <v>1055300</v>
      </c>
      <c r="W54" s="43">
        <f t="shared" ref="W54:X54" si="71">SUM(W10,W31)</f>
        <v>1042047</v>
      </c>
      <c r="X54" s="43">
        <f t="shared" si="71"/>
        <v>1060586</v>
      </c>
      <c r="Y54" s="43">
        <f t="shared" ref="Y54:Z54" si="72">SUM(Y10,Y31)</f>
        <v>1049326</v>
      </c>
      <c r="Z54" s="43">
        <f t="shared" si="72"/>
        <v>1059389</v>
      </c>
      <c r="AA54" s="43">
        <f t="shared" ref="AA54:AB54" si="73">SUM(AA10,AA31)</f>
        <v>975198</v>
      </c>
      <c r="AB54" s="43">
        <f t="shared" si="73"/>
        <v>984531</v>
      </c>
      <c r="AC54" s="43">
        <f t="shared" ref="AC54:AD54" si="74">SUM(AC10,AC31)</f>
        <v>972807</v>
      </c>
      <c r="AD54" s="43">
        <f t="shared" si="74"/>
        <v>975381</v>
      </c>
      <c r="AE54" s="43">
        <f t="shared" ref="AE54:AJ54" si="75">AE10+AE31</f>
        <v>965357</v>
      </c>
      <c r="AF54" s="43">
        <f t="shared" si="75"/>
        <v>985346</v>
      </c>
      <c r="AG54" s="43">
        <f t="shared" si="75"/>
        <v>998601</v>
      </c>
      <c r="AH54" s="43">
        <f t="shared" si="75"/>
        <v>1023704</v>
      </c>
      <c r="AI54" s="43">
        <f t="shared" si="75"/>
        <v>1034155</v>
      </c>
      <c r="AJ54" s="43">
        <f t="shared" si="75"/>
        <v>1070234</v>
      </c>
      <c r="AK54" s="161"/>
      <c r="AL54" s="43">
        <f t="shared" si="7"/>
        <v>839190</v>
      </c>
      <c r="AM54" s="43">
        <f t="shared" si="8"/>
        <v>887836</v>
      </c>
      <c r="AN54" s="43">
        <f t="shared" si="9"/>
        <v>874949</v>
      </c>
      <c r="AO54" s="43">
        <f t="shared" si="5"/>
        <v>999260</v>
      </c>
      <c r="AP54" s="43">
        <f t="shared" si="56"/>
        <v>1042047</v>
      </c>
      <c r="AQ54" s="43">
        <f t="shared" si="10"/>
        <v>975198</v>
      </c>
      <c r="AR54" s="43">
        <f t="shared" si="64"/>
        <v>965357</v>
      </c>
      <c r="AS54" s="43">
        <f t="shared" si="55"/>
        <v>1034155</v>
      </c>
      <c r="AT54" s="43">
        <f t="shared" si="55"/>
        <v>1070234</v>
      </c>
      <c r="AU54" s="149"/>
      <c r="AV54" s="146"/>
      <c r="AX54" s="148"/>
      <c r="AZ54" s="146"/>
    </row>
    <row r="55" spans="2:52" ht="12" customHeight="1" x14ac:dyDescent="0.2">
      <c r="B55" s="218" t="s">
        <v>88</v>
      </c>
      <c r="C55" s="218"/>
      <c r="D55" s="39">
        <f t="shared" ref="D55:F55" si="76">SUM(D56,D69)</f>
        <v>470648</v>
      </c>
      <c r="E55" s="39">
        <f t="shared" si="76"/>
        <v>465251</v>
      </c>
      <c r="F55" s="39">
        <f t="shared" si="76"/>
        <v>477678</v>
      </c>
      <c r="G55" s="39">
        <f>SUM(G56,G69)</f>
        <v>476984</v>
      </c>
      <c r="H55" s="39">
        <f t="shared" ref="H55:N55" si="77">SUM(H56,H69)</f>
        <v>492403</v>
      </c>
      <c r="I55" s="39">
        <f t="shared" si="77"/>
        <v>480300</v>
      </c>
      <c r="J55" s="39">
        <f t="shared" si="77"/>
        <v>493907</v>
      </c>
      <c r="K55" s="39">
        <f t="shared" si="77"/>
        <v>492889</v>
      </c>
      <c r="L55" s="39">
        <f t="shared" si="77"/>
        <v>505224</v>
      </c>
      <c r="M55" s="39">
        <f t="shared" si="77"/>
        <v>520305</v>
      </c>
      <c r="N55" s="39">
        <f t="shared" si="77"/>
        <v>516265</v>
      </c>
      <c r="O55" s="39">
        <f t="shared" ref="O55:P55" si="78">SUM(O56,O69)</f>
        <v>517574</v>
      </c>
      <c r="P55" s="39">
        <f t="shared" si="78"/>
        <v>560891</v>
      </c>
      <c r="Q55" s="39">
        <f t="shared" ref="Q55:R55" si="79">SUM(Q56,Q69)</f>
        <v>551328</v>
      </c>
      <c r="R55" s="39">
        <f t="shared" si="79"/>
        <v>550918</v>
      </c>
      <c r="S55" s="39">
        <f t="shared" ref="S55:T55" si="80">SUM(S56,S69)</f>
        <v>551275</v>
      </c>
      <c r="T55" s="39">
        <f t="shared" si="80"/>
        <v>530125</v>
      </c>
      <c r="U55" s="39">
        <f t="shared" ref="U55:V55" si="81">SUM(U56,U69)</f>
        <v>526750</v>
      </c>
      <c r="V55" s="39">
        <f t="shared" si="81"/>
        <v>520704</v>
      </c>
      <c r="W55" s="39">
        <f t="shared" ref="W55:X55" si="82">SUM(W56,W69)</f>
        <v>539148</v>
      </c>
      <c r="X55" s="39">
        <f t="shared" si="82"/>
        <v>550768</v>
      </c>
      <c r="Y55" s="39">
        <f t="shared" ref="Y55:Z55" si="83">SUM(Y56,Y69)</f>
        <v>545864</v>
      </c>
      <c r="Z55" s="39">
        <f t="shared" si="83"/>
        <v>557048</v>
      </c>
      <c r="AA55" s="39">
        <f t="shared" ref="AA55:AB55" si="84">SUM(AA56,AA69)</f>
        <v>539023</v>
      </c>
      <c r="AB55" s="39">
        <f t="shared" si="84"/>
        <v>550007</v>
      </c>
      <c r="AC55" s="39">
        <f t="shared" ref="AC55:AD55" si="85">SUM(AC56,AC69)</f>
        <v>567791</v>
      </c>
      <c r="AD55" s="39">
        <f t="shared" si="85"/>
        <v>584654</v>
      </c>
      <c r="AE55" s="39">
        <f t="shared" ref="AE55:AF55" si="86">SUM(AE56,AE69)</f>
        <v>592502</v>
      </c>
      <c r="AF55" s="39">
        <f t="shared" si="86"/>
        <v>603852</v>
      </c>
      <c r="AG55" s="39">
        <f t="shared" ref="AG55:AH55" si="87">SUM(AG56,AG69)</f>
        <v>602305</v>
      </c>
      <c r="AH55" s="39">
        <f t="shared" si="87"/>
        <v>625878</v>
      </c>
      <c r="AI55" s="39">
        <f t="shared" ref="AI55:AJ55" si="88">SUM(AI56,AI69)</f>
        <v>651616</v>
      </c>
      <c r="AJ55" s="39">
        <f t="shared" si="88"/>
        <v>673018</v>
      </c>
      <c r="AL55" s="39">
        <f t="shared" si="7"/>
        <v>476984</v>
      </c>
      <c r="AM55" s="39">
        <f t="shared" si="8"/>
        <v>492889</v>
      </c>
      <c r="AN55" s="39">
        <f t="shared" si="9"/>
        <v>517574</v>
      </c>
      <c r="AO55" s="39">
        <f t="shared" si="5"/>
        <v>551275</v>
      </c>
      <c r="AP55" s="39">
        <f t="shared" si="56"/>
        <v>539148</v>
      </c>
      <c r="AQ55" s="39">
        <f t="shared" si="10"/>
        <v>539023</v>
      </c>
      <c r="AR55" s="39">
        <f t="shared" si="64"/>
        <v>592502</v>
      </c>
      <c r="AS55" s="39">
        <f t="shared" si="55"/>
        <v>651616</v>
      </c>
      <c r="AT55" s="39">
        <f t="shared" si="55"/>
        <v>673018</v>
      </c>
      <c r="AU55" s="149"/>
      <c r="AV55" s="146"/>
      <c r="AX55" s="148"/>
      <c r="AZ55" s="146"/>
    </row>
    <row r="56" spans="2:52" ht="12" customHeight="1" x14ac:dyDescent="0.2">
      <c r="B56" s="218" t="s">
        <v>89</v>
      </c>
      <c r="C56" s="218"/>
      <c r="D56" s="39">
        <f t="shared" ref="D56:F56" si="89">SUM(D57:D65)</f>
        <v>465513</v>
      </c>
      <c r="E56" s="39">
        <f t="shared" si="89"/>
        <v>458800</v>
      </c>
      <c r="F56" s="39">
        <f t="shared" si="89"/>
        <v>472013</v>
      </c>
      <c r="G56" s="39">
        <f>SUM(G57:G65)</f>
        <v>471391</v>
      </c>
      <c r="H56" s="39">
        <f t="shared" ref="H56:N56" si="90">SUM(H57:H65)</f>
        <v>486599</v>
      </c>
      <c r="I56" s="39">
        <f t="shared" si="90"/>
        <v>474351</v>
      </c>
      <c r="J56" s="39">
        <f t="shared" si="90"/>
        <v>487756</v>
      </c>
      <c r="K56" s="39">
        <f t="shared" si="90"/>
        <v>486189</v>
      </c>
      <c r="L56" s="39">
        <f t="shared" si="90"/>
        <v>498073</v>
      </c>
      <c r="M56" s="39">
        <f t="shared" si="90"/>
        <v>512991</v>
      </c>
      <c r="N56" s="39">
        <f t="shared" si="90"/>
        <v>508721</v>
      </c>
      <c r="O56" s="39">
        <f t="shared" ref="O56:P56" si="91">SUM(O57:O65)</f>
        <v>510089</v>
      </c>
      <c r="P56" s="39">
        <f t="shared" si="91"/>
        <v>552434</v>
      </c>
      <c r="Q56" s="39">
        <f t="shared" ref="Q56:R56" si="92">SUM(Q57:Q65)</f>
        <v>542716</v>
      </c>
      <c r="R56" s="39">
        <f t="shared" si="92"/>
        <v>547078</v>
      </c>
      <c r="S56" s="39">
        <f t="shared" ref="S56:T56" si="93">SUM(S57:S65)</f>
        <v>547345</v>
      </c>
      <c r="T56" s="39">
        <f t="shared" si="93"/>
        <v>528546</v>
      </c>
      <c r="U56" s="39">
        <f t="shared" ref="U56:V56" si="94">SUM(U57:U65)</f>
        <v>525217</v>
      </c>
      <c r="V56" s="39">
        <f t="shared" si="94"/>
        <v>519057</v>
      </c>
      <c r="W56" s="39">
        <f t="shared" ref="W56:X56" si="95">SUM(W57:W65)</f>
        <v>537347</v>
      </c>
      <c r="X56" s="39">
        <f t="shared" si="95"/>
        <v>548713</v>
      </c>
      <c r="Y56" s="39">
        <f t="shared" ref="Y56:Z56" si="96">SUM(Y57:Y65)</f>
        <v>543692</v>
      </c>
      <c r="Z56" s="39">
        <f t="shared" si="96"/>
        <v>554937</v>
      </c>
      <c r="AA56" s="39">
        <f t="shared" ref="AA56:AB56" si="97">SUM(AA57:AA65)</f>
        <v>536965</v>
      </c>
      <c r="AB56" s="39">
        <f t="shared" si="97"/>
        <v>547900</v>
      </c>
      <c r="AC56" s="39">
        <f t="shared" ref="AC56:AD56" si="98">SUM(AC57:AC65)</f>
        <v>565541</v>
      </c>
      <c r="AD56" s="39">
        <f t="shared" si="98"/>
        <v>582274</v>
      </c>
      <c r="AE56" s="39">
        <f t="shared" ref="AE56:AF56" si="99">SUM(AE57:AE65)</f>
        <v>590290</v>
      </c>
      <c r="AF56" s="39">
        <f t="shared" si="99"/>
        <v>601484</v>
      </c>
      <c r="AG56" s="39">
        <f t="shared" ref="AG56:AH56" si="100">SUM(AG57:AG65)</f>
        <v>599716</v>
      </c>
      <c r="AH56" s="39">
        <f t="shared" si="100"/>
        <v>623447</v>
      </c>
      <c r="AI56" s="39">
        <f t="shared" ref="AI56:AJ56" si="101">SUM(AI57:AI65)</f>
        <v>649392</v>
      </c>
      <c r="AJ56" s="39">
        <f t="shared" si="101"/>
        <v>670672</v>
      </c>
      <c r="AL56" s="39">
        <f t="shared" si="7"/>
        <v>471391</v>
      </c>
      <c r="AM56" s="39">
        <f t="shared" si="8"/>
        <v>486189</v>
      </c>
      <c r="AN56" s="39">
        <f t="shared" si="9"/>
        <v>510089</v>
      </c>
      <c r="AO56" s="39">
        <f t="shared" si="5"/>
        <v>547345</v>
      </c>
      <c r="AP56" s="39">
        <f t="shared" si="56"/>
        <v>537347</v>
      </c>
      <c r="AQ56" s="39">
        <f t="shared" si="10"/>
        <v>536965</v>
      </c>
      <c r="AR56" s="39">
        <f t="shared" si="64"/>
        <v>590290</v>
      </c>
      <c r="AS56" s="39">
        <f t="shared" si="55"/>
        <v>649392</v>
      </c>
      <c r="AT56" s="39">
        <f t="shared" si="55"/>
        <v>670672</v>
      </c>
      <c r="AU56" s="149"/>
      <c r="AV56" s="146"/>
      <c r="AX56" s="148"/>
      <c r="AZ56" s="146"/>
    </row>
    <row r="57" spans="2:52" ht="12" customHeight="1" x14ac:dyDescent="0.2">
      <c r="B57" s="31"/>
      <c r="C57" s="32" t="s">
        <v>90</v>
      </c>
      <c r="D57" s="33">
        <v>3311</v>
      </c>
      <c r="E57" s="33">
        <v>3311</v>
      </c>
      <c r="F57" s="33">
        <v>3311</v>
      </c>
      <c r="G57" s="33">
        <v>3311</v>
      </c>
      <c r="H57" s="33">
        <v>3311</v>
      </c>
      <c r="I57" s="33">
        <v>3311</v>
      </c>
      <c r="J57" s="33">
        <v>3311</v>
      </c>
      <c r="K57" s="33">
        <v>3286</v>
      </c>
      <c r="L57" s="33">
        <v>3286</v>
      </c>
      <c r="M57" s="33">
        <v>3286</v>
      </c>
      <c r="N57" s="33">
        <v>3286</v>
      </c>
      <c r="O57" s="33">
        <v>3281</v>
      </c>
      <c r="P57" s="33">
        <v>3281</v>
      </c>
      <c r="Q57" s="33">
        <v>3281</v>
      </c>
      <c r="R57" s="33">
        <v>3281</v>
      </c>
      <c r="S57" s="33">
        <v>3278</v>
      </c>
      <c r="T57" s="33">
        <v>3278</v>
      </c>
      <c r="U57" s="33">
        <v>3278</v>
      </c>
      <c r="V57" s="33">
        <v>3278</v>
      </c>
      <c r="W57" s="33">
        <v>3265</v>
      </c>
      <c r="X57" s="33">
        <v>3265</v>
      </c>
      <c r="Y57" s="33">
        <v>3265</v>
      </c>
      <c r="Z57" s="33">
        <v>3265</v>
      </c>
      <c r="AA57" s="33">
        <v>3265</v>
      </c>
      <c r="AB57" s="33">
        <v>3265</v>
      </c>
      <c r="AC57" s="33">
        <v>3265</v>
      </c>
      <c r="AD57" s="33">
        <v>3265</v>
      </c>
      <c r="AE57" s="33">
        <v>3265</v>
      </c>
      <c r="AF57" s="33">
        <v>3265</v>
      </c>
      <c r="AG57" s="33">
        <v>3265</v>
      </c>
      <c r="AH57" s="33">
        <v>3265</v>
      </c>
      <c r="AI57" s="33">
        <v>3265</v>
      </c>
      <c r="AJ57" s="33">
        <v>3265</v>
      </c>
      <c r="AL57" s="33">
        <f t="shared" si="7"/>
        <v>3311</v>
      </c>
      <c r="AM57" s="33">
        <f t="shared" si="8"/>
        <v>3286</v>
      </c>
      <c r="AN57" s="33">
        <f t="shared" si="9"/>
        <v>3281</v>
      </c>
      <c r="AO57" s="33">
        <f t="shared" si="5"/>
        <v>3278</v>
      </c>
      <c r="AP57" s="33">
        <f t="shared" si="56"/>
        <v>3265</v>
      </c>
      <c r="AQ57" s="33">
        <f t="shared" si="10"/>
        <v>3265</v>
      </c>
      <c r="AR57" s="33">
        <f t="shared" si="64"/>
        <v>3265</v>
      </c>
      <c r="AS57" s="33">
        <f t="shared" si="55"/>
        <v>3265</v>
      </c>
      <c r="AT57" s="33">
        <f t="shared" si="55"/>
        <v>3265</v>
      </c>
      <c r="AU57" s="149"/>
      <c r="AX57" s="148"/>
      <c r="AZ57" s="146"/>
    </row>
    <row r="58" spans="2:52" ht="12" customHeight="1" x14ac:dyDescent="0.2">
      <c r="B58" s="31"/>
      <c r="C58" s="32" t="s">
        <v>303</v>
      </c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>
        <v>-3</v>
      </c>
      <c r="R58" s="33">
        <v>-3</v>
      </c>
      <c r="S58" s="33"/>
      <c r="T58" s="33">
        <v>0</v>
      </c>
      <c r="U58" s="33">
        <v>-13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/>
      <c r="AE58" s="33"/>
      <c r="AF58" s="33"/>
      <c r="AG58" s="33"/>
      <c r="AH58" s="33"/>
      <c r="AI58" s="33"/>
      <c r="AJ58" s="33"/>
      <c r="AL58" s="33">
        <f t="shared" ref="AL58:AL59" si="102">G58</f>
        <v>0</v>
      </c>
      <c r="AM58" s="33">
        <f t="shared" ref="AM58:AM59" si="103">K58</f>
        <v>0</v>
      </c>
      <c r="AN58" s="33">
        <f t="shared" ref="AN58:AN59" si="104">O58</f>
        <v>0</v>
      </c>
      <c r="AO58" s="33">
        <f t="shared" ref="AO58:AO59" si="105">S58</f>
        <v>0</v>
      </c>
      <c r="AP58" s="33">
        <f t="shared" si="56"/>
        <v>0</v>
      </c>
      <c r="AQ58" s="33">
        <f t="shared" si="10"/>
        <v>0</v>
      </c>
      <c r="AR58" s="33">
        <f t="shared" si="64"/>
        <v>0</v>
      </c>
      <c r="AS58" s="33">
        <f t="shared" si="55"/>
        <v>0</v>
      </c>
      <c r="AT58" s="33">
        <f t="shared" si="55"/>
        <v>0</v>
      </c>
      <c r="AU58" s="149"/>
      <c r="AX58" s="148"/>
      <c r="AZ58" s="146"/>
    </row>
    <row r="59" spans="2:52" ht="12" customHeight="1" x14ac:dyDescent="0.2">
      <c r="B59" s="31"/>
      <c r="C59" s="32" t="s">
        <v>304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>
        <v>-3823</v>
      </c>
      <c r="P59" s="33">
        <v>-4062</v>
      </c>
      <c r="Q59" s="33">
        <v>-4181</v>
      </c>
      <c r="R59" s="33">
        <v>-4181</v>
      </c>
      <c r="S59" s="33">
        <v>-3972</v>
      </c>
      <c r="T59" s="33">
        <v>-5155</v>
      </c>
      <c r="U59" s="33">
        <v>-5909</v>
      </c>
      <c r="V59" s="33">
        <v>-5922</v>
      </c>
      <c r="W59" s="33">
        <v>-3522</v>
      </c>
      <c r="X59" s="33">
        <v>-3522</v>
      </c>
      <c r="Y59" s="33">
        <v>-3522</v>
      </c>
      <c r="Z59" s="33">
        <v>-3522</v>
      </c>
      <c r="AA59" s="33">
        <v>-3522</v>
      </c>
      <c r="AB59" s="33">
        <v>-3522</v>
      </c>
      <c r="AC59" s="33">
        <v>-3522</v>
      </c>
      <c r="AD59" s="33">
        <v>-3522</v>
      </c>
      <c r="AE59" s="33">
        <v>-3522</v>
      </c>
      <c r="AF59" s="33">
        <v>-3522</v>
      </c>
      <c r="AG59" s="33">
        <v>-3522</v>
      </c>
      <c r="AH59" s="33">
        <v>-3522</v>
      </c>
      <c r="AI59" s="33">
        <v>-3522</v>
      </c>
      <c r="AJ59" s="33">
        <v>-3522</v>
      </c>
      <c r="AL59" s="33">
        <f t="shared" si="102"/>
        <v>0</v>
      </c>
      <c r="AM59" s="33">
        <f t="shared" si="103"/>
        <v>0</v>
      </c>
      <c r="AN59" s="33">
        <f t="shared" si="104"/>
        <v>-3823</v>
      </c>
      <c r="AO59" s="33">
        <f t="shared" si="105"/>
        <v>-3972</v>
      </c>
      <c r="AP59" s="33">
        <f t="shared" si="56"/>
        <v>-3522</v>
      </c>
      <c r="AQ59" s="33">
        <f t="shared" si="10"/>
        <v>-3522</v>
      </c>
      <c r="AR59" s="33">
        <f t="shared" si="64"/>
        <v>-3522</v>
      </c>
      <c r="AS59" s="33">
        <f t="shared" si="55"/>
        <v>-3522</v>
      </c>
      <c r="AT59" s="33">
        <f t="shared" si="55"/>
        <v>-3522</v>
      </c>
      <c r="AU59" s="149"/>
      <c r="AX59" s="148"/>
      <c r="AZ59" s="146"/>
    </row>
    <row r="60" spans="2:52" ht="12" customHeight="1" x14ac:dyDescent="0.2">
      <c r="B60" s="31"/>
      <c r="C60" s="32" t="s">
        <v>91</v>
      </c>
      <c r="D60" s="33">
        <v>426825</v>
      </c>
      <c r="E60" s="33">
        <v>460590</v>
      </c>
      <c r="F60" s="33">
        <v>457771</v>
      </c>
      <c r="G60" s="33">
        <v>448197</v>
      </c>
      <c r="H60" s="33">
        <v>448192</v>
      </c>
      <c r="I60" s="33">
        <v>484784</v>
      </c>
      <c r="J60" s="33">
        <v>484054</v>
      </c>
      <c r="K60" s="33">
        <v>482997</v>
      </c>
      <c r="L60" s="33">
        <v>482817</v>
      </c>
      <c r="M60" s="33">
        <v>498849</v>
      </c>
      <c r="N60" s="33">
        <v>516749</v>
      </c>
      <c r="O60" s="33">
        <v>522191</v>
      </c>
      <c r="P60" s="33">
        <f>517796-P59</f>
        <v>521858</v>
      </c>
      <c r="Q60" s="33">
        <v>553784</v>
      </c>
      <c r="R60" s="33">
        <v>553784</v>
      </c>
      <c r="S60" s="33">
        <v>553460</v>
      </c>
      <c r="T60" s="33">
        <v>559715</v>
      </c>
      <c r="U60" s="33">
        <v>564208</v>
      </c>
      <c r="V60" s="33">
        <v>564207</v>
      </c>
      <c r="W60" s="33">
        <v>562967</v>
      </c>
      <c r="X60" s="33">
        <v>562978</v>
      </c>
      <c r="Y60" s="33">
        <v>600183</v>
      </c>
      <c r="Z60" s="33">
        <v>600182</v>
      </c>
      <c r="AA60" s="33">
        <v>600182</v>
      </c>
      <c r="AB60" s="33">
        <v>600182</v>
      </c>
      <c r="AC60" s="33">
        <v>574828</v>
      </c>
      <c r="AD60" s="33">
        <v>574829</v>
      </c>
      <c r="AE60" s="33">
        <v>574829</v>
      </c>
      <c r="AF60" s="33">
        <v>574829</v>
      </c>
      <c r="AG60" s="33">
        <v>621929</v>
      </c>
      <c r="AH60" s="33">
        <v>621551</v>
      </c>
      <c r="AI60" s="33">
        <v>621168</v>
      </c>
      <c r="AJ60" s="33">
        <v>620957</v>
      </c>
      <c r="AL60" s="33">
        <f t="shared" si="7"/>
        <v>448197</v>
      </c>
      <c r="AM60" s="33">
        <f t="shared" si="8"/>
        <v>482997</v>
      </c>
      <c r="AN60" s="33">
        <f t="shared" si="9"/>
        <v>522191</v>
      </c>
      <c r="AO60" s="33">
        <f t="shared" ref="AO60:AO106" si="106">S60</f>
        <v>553460</v>
      </c>
      <c r="AP60" s="33">
        <f t="shared" si="56"/>
        <v>562967</v>
      </c>
      <c r="AQ60" s="33">
        <f t="shared" si="10"/>
        <v>600182</v>
      </c>
      <c r="AR60" s="33">
        <f t="shared" si="64"/>
        <v>574829</v>
      </c>
      <c r="AS60" s="33">
        <f t="shared" si="55"/>
        <v>621168</v>
      </c>
      <c r="AT60" s="33">
        <f t="shared" si="55"/>
        <v>620957</v>
      </c>
      <c r="AU60" s="149"/>
      <c r="AX60" s="148"/>
      <c r="AZ60" s="146"/>
    </row>
    <row r="61" spans="2:52" ht="12" customHeight="1" x14ac:dyDescent="0.2">
      <c r="B61" s="31"/>
      <c r="C61" s="32" t="s">
        <v>92</v>
      </c>
      <c r="D61" s="37">
        <v>273</v>
      </c>
      <c r="E61" s="37">
        <v>273</v>
      </c>
      <c r="F61" s="37">
        <v>273</v>
      </c>
      <c r="G61" s="37">
        <v>-194</v>
      </c>
      <c r="H61" s="37">
        <v>-194</v>
      </c>
      <c r="I61" s="37">
        <v>-194</v>
      </c>
      <c r="J61" s="37">
        <v>-194</v>
      </c>
      <c r="K61" s="37">
        <v>-270</v>
      </c>
      <c r="L61" s="37">
        <v>-270</v>
      </c>
      <c r="M61" s="37">
        <v>-270</v>
      </c>
      <c r="N61" s="37">
        <v>-270</v>
      </c>
      <c r="O61" s="37">
        <v>-253</v>
      </c>
      <c r="P61" s="37">
        <v>-253</v>
      </c>
      <c r="Q61" s="37">
        <v>-253</v>
      </c>
      <c r="R61" s="37">
        <v>-253</v>
      </c>
      <c r="S61" s="37">
        <v>-86</v>
      </c>
      <c r="T61" s="37">
        <v>-86</v>
      </c>
      <c r="U61" s="37">
        <v>-86</v>
      </c>
      <c r="V61" s="37">
        <v>-86</v>
      </c>
      <c r="W61" s="37">
        <v>1147</v>
      </c>
      <c r="X61" s="37">
        <v>1147</v>
      </c>
      <c r="Y61" s="37">
        <v>1147</v>
      </c>
      <c r="Z61" s="37">
        <v>1147</v>
      </c>
      <c r="AA61" s="37">
        <v>894</v>
      </c>
      <c r="AB61" s="37">
        <v>894</v>
      </c>
      <c r="AC61" s="37">
        <v>894</v>
      </c>
      <c r="AD61" s="37">
        <v>894</v>
      </c>
      <c r="AE61" s="37">
        <v>607</v>
      </c>
      <c r="AF61" s="37">
        <v>607</v>
      </c>
      <c r="AG61" s="37">
        <v>607</v>
      </c>
      <c r="AH61" s="37">
        <v>607</v>
      </c>
      <c r="AI61" s="37">
        <v>318</v>
      </c>
      <c r="AJ61" s="37">
        <v>318</v>
      </c>
      <c r="AL61" s="37">
        <f t="shared" si="7"/>
        <v>-194</v>
      </c>
      <c r="AM61" s="37">
        <f t="shared" si="8"/>
        <v>-270</v>
      </c>
      <c r="AN61" s="37">
        <f t="shared" si="9"/>
        <v>-253</v>
      </c>
      <c r="AO61" s="37">
        <f t="shared" si="106"/>
        <v>-86</v>
      </c>
      <c r="AP61" s="37">
        <f t="shared" si="56"/>
        <v>1147</v>
      </c>
      <c r="AQ61" s="37">
        <f t="shared" si="10"/>
        <v>894</v>
      </c>
      <c r="AR61" s="37">
        <f t="shared" si="64"/>
        <v>607</v>
      </c>
      <c r="AS61" s="37">
        <f t="shared" si="55"/>
        <v>318</v>
      </c>
      <c r="AT61" s="37">
        <f t="shared" si="55"/>
        <v>318</v>
      </c>
      <c r="AU61" s="149"/>
      <c r="AV61" s="38"/>
      <c r="AX61" s="148"/>
      <c r="AZ61" s="146"/>
    </row>
    <row r="62" spans="2:52" ht="12" customHeight="1" x14ac:dyDescent="0.2">
      <c r="B62" s="31"/>
      <c r="C62" s="32" t="s">
        <v>359</v>
      </c>
      <c r="D62" s="37">
        <v>-3796</v>
      </c>
      <c r="E62" s="37">
        <v>-5398</v>
      </c>
      <c r="F62" s="37">
        <v>-3787</v>
      </c>
      <c r="G62" s="37">
        <v>-4892</v>
      </c>
      <c r="H62" s="37">
        <v>-3493</v>
      </c>
      <c r="I62" s="37">
        <v>-3872</v>
      </c>
      <c r="J62" s="37">
        <v>-4101</v>
      </c>
      <c r="K62" s="37">
        <v>-1361</v>
      </c>
      <c r="L62" s="37">
        <v>-6183</v>
      </c>
      <c r="M62" s="37">
        <v>-5611</v>
      </c>
      <c r="N62" s="37">
        <v>-7497</v>
      </c>
      <c r="O62" s="37">
        <v>-4022</v>
      </c>
      <c r="P62" s="37">
        <v>-1487</v>
      </c>
      <c r="Q62" s="37">
        <v>1677</v>
      </c>
      <c r="R62" s="37">
        <v>483</v>
      </c>
      <c r="S62" s="37">
        <v>1684</v>
      </c>
      <c r="T62" s="37">
        <v>248</v>
      </c>
      <c r="U62" s="37">
        <v>-163</v>
      </c>
      <c r="V62" s="37">
        <v>-2848</v>
      </c>
      <c r="W62" s="37">
        <v>2705</v>
      </c>
      <c r="X62" s="37">
        <v>5398</v>
      </c>
      <c r="Y62" s="37">
        <v>5220</v>
      </c>
      <c r="Z62" s="37">
        <v>8005</v>
      </c>
      <c r="AA62" s="37">
        <v>8845</v>
      </c>
      <c r="AB62" s="37">
        <v>7810</v>
      </c>
      <c r="AC62" s="37">
        <v>7504</v>
      </c>
      <c r="AD62" s="37">
        <v>6830</v>
      </c>
      <c r="AE62" s="37">
        <v>389</v>
      </c>
      <c r="AF62" s="37">
        <v>514</v>
      </c>
      <c r="AG62" s="37">
        <v>-2491</v>
      </c>
      <c r="AH62" s="37">
        <v>-1806</v>
      </c>
      <c r="AI62" s="37">
        <v>-924</v>
      </c>
      <c r="AJ62" s="37">
        <v>222</v>
      </c>
      <c r="AL62" s="37">
        <f t="shared" si="7"/>
        <v>-4892</v>
      </c>
      <c r="AM62" s="37">
        <f t="shared" si="8"/>
        <v>-1361</v>
      </c>
      <c r="AN62" s="37">
        <f t="shared" si="9"/>
        <v>-4022</v>
      </c>
      <c r="AO62" s="37">
        <f t="shared" si="106"/>
        <v>1684</v>
      </c>
      <c r="AP62" s="37">
        <f t="shared" si="56"/>
        <v>2705</v>
      </c>
      <c r="AQ62" s="37">
        <f t="shared" si="10"/>
        <v>8845</v>
      </c>
      <c r="AR62" s="37">
        <f t="shared" si="64"/>
        <v>389</v>
      </c>
      <c r="AS62" s="37">
        <f t="shared" si="55"/>
        <v>-924</v>
      </c>
      <c r="AT62" s="37">
        <f t="shared" si="55"/>
        <v>222</v>
      </c>
      <c r="AU62" s="149"/>
      <c r="AX62" s="148"/>
      <c r="AZ62" s="146"/>
    </row>
    <row r="63" spans="2:52" ht="12" customHeight="1" x14ac:dyDescent="0.2">
      <c r="B63" s="31"/>
      <c r="C63" s="29" t="s">
        <v>348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>
        <v>6132</v>
      </c>
      <c r="AF63" s="37">
        <v>5170</v>
      </c>
      <c r="AG63" s="37">
        <v>6083</v>
      </c>
      <c r="AH63" s="37">
        <v>6237</v>
      </c>
      <c r="AI63" s="37">
        <v>5938</v>
      </c>
      <c r="AJ63" s="37">
        <v>6319</v>
      </c>
      <c r="AL63" s="37"/>
      <c r="AM63" s="37"/>
      <c r="AN63" s="37"/>
      <c r="AO63" s="37"/>
      <c r="AP63" s="37"/>
      <c r="AQ63" s="37"/>
      <c r="AR63" s="37">
        <f t="shared" si="64"/>
        <v>6132</v>
      </c>
      <c r="AS63" s="37">
        <f t="shared" si="55"/>
        <v>5938</v>
      </c>
      <c r="AT63" s="37">
        <f t="shared" si="55"/>
        <v>6319</v>
      </c>
      <c r="AU63" s="149"/>
      <c r="AX63" s="148"/>
      <c r="AZ63" s="146"/>
    </row>
    <row r="64" spans="2:52" ht="12" customHeight="1" x14ac:dyDescent="0.2">
      <c r="B64" s="31"/>
      <c r="C64" s="32" t="s">
        <v>93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J64" s="37">
        <v>0</v>
      </c>
      <c r="AL64" s="37">
        <f t="shared" si="7"/>
        <v>0</v>
      </c>
      <c r="AM64" s="37">
        <f t="shared" si="8"/>
        <v>0</v>
      </c>
      <c r="AN64" s="37">
        <f t="shared" si="9"/>
        <v>0</v>
      </c>
      <c r="AO64" s="37">
        <f t="shared" si="106"/>
        <v>0</v>
      </c>
      <c r="AP64" s="37">
        <f t="shared" si="56"/>
        <v>0</v>
      </c>
      <c r="AQ64" s="37">
        <f t="shared" si="10"/>
        <v>0</v>
      </c>
      <c r="AR64" s="37">
        <f t="shared" si="64"/>
        <v>0</v>
      </c>
      <c r="AS64" s="37">
        <f t="shared" si="55"/>
        <v>0</v>
      </c>
      <c r="AT64" s="37">
        <f t="shared" si="55"/>
        <v>0</v>
      </c>
      <c r="AU64" s="149"/>
      <c r="AX64" s="148"/>
      <c r="AZ64" s="146"/>
    </row>
    <row r="65" spans="2:54" s="38" customFormat="1" ht="12" customHeight="1" x14ac:dyDescent="0.2">
      <c r="B65" s="40"/>
      <c r="C65" s="41" t="s">
        <v>94</v>
      </c>
      <c r="D65" s="42">
        <f t="shared" ref="D65:F65" si="107">SUM(D66:D68)</f>
        <v>38900</v>
      </c>
      <c r="E65" s="42">
        <f t="shared" si="107"/>
        <v>24</v>
      </c>
      <c r="F65" s="42">
        <f t="shared" si="107"/>
        <v>14445</v>
      </c>
      <c r="G65" s="42">
        <f>SUM(G66:G68)</f>
        <v>24969</v>
      </c>
      <c r="H65" s="42">
        <f t="shared" ref="H65:R65" si="108">SUM(H66:H68)</f>
        <v>38783</v>
      </c>
      <c r="I65" s="42">
        <f t="shared" si="108"/>
        <v>-9678</v>
      </c>
      <c r="J65" s="42">
        <f t="shared" si="108"/>
        <v>4686</v>
      </c>
      <c r="K65" s="42">
        <f t="shared" si="108"/>
        <v>1537</v>
      </c>
      <c r="L65" s="42">
        <f t="shared" si="108"/>
        <v>18423</v>
      </c>
      <c r="M65" s="42">
        <f t="shared" si="108"/>
        <v>16737</v>
      </c>
      <c r="N65" s="42">
        <f t="shared" si="108"/>
        <v>-3547</v>
      </c>
      <c r="O65" s="42">
        <f t="shared" si="108"/>
        <v>-7285</v>
      </c>
      <c r="P65" s="42">
        <f t="shared" si="108"/>
        <v>33097</v>
      </c>
      <c r="Q65" s="42">
        <f t="shared" si="108"/>
        <v>-11589</v>
      </c>
      <c r="R65" s="42">
        <f t="shared" si="108"/>
        <v>-6033</v>
      </c>
      <c r="S65" s="42">
        <f t="shared" ref="S65:V65" si="109">SUM(S66:S68)</f>
        <v>-7019</v>
      </c>
      <c r="T65" s="42">
        <f t="shared" si="109"/>
        <v>-29454</v>
      </c>
      <c r="U65" s="42">
        <f t="shared" si="109"/>
        <v>-36098</v>
      </c>
      <c r="V65" s="42">
        <f t="shared" si="109"/>
        <v>-39572</v>
      </c>
      <c r="W65" s="42">
        <f t="shared" ref="W65:AD65" si="110">SUM(W66:W68)</f>
        <v>-29215</v>
      </c>
      <c r="X65" s="42">
        <f t="shared" si="110"/>
        <v>-20553</v>
      </c>
      <c r="Y65" s="42">
        <f t="shared" si="110"/>
        <v>-62601</v>
      </c>
      <c r="Z65" s="42">
        <f t="shared" si="110"/>
        <v>-54140</v>
      </c>
      <c r="AA65" s="42">
        <f t="shared" si="110"/>
        <v>-72699</v>
      </c>
      <c r="AB65" s="42">
        <f t="shared" si="110"/>
        <v>-60729</v>
      </c>
      <c r="AC65" s="42">
        <f t="shared" si="110"/>
        <v>-17428</v>
      </c>
      <c r="AD65" s="42">
        <f t="shared" si="110"/>
        <v>-22</v>
      </c>
      <c r="AE65" s="42">
        <f t="shared" ref="AE65:AI65" si="111">SUM(AE66:AE68)</f>
        <v>8590</v>
      </c>
      <c r="AF65" s="42">
        <f t="shared" si="111"/>
        <v>20621</v>
      </c>
      <c r="AG65" s="42">
        <f t="shared" si="111"/>
        <v>-26155</v>
      </c>
      <c r="AH65" s="42">
        <f t="shared" si="111"/>
        <v>-2885</v>
      </c>
      <c r="AI65" s="42">
        <f t="shared" si="111"/>
        <v>23149</v>
      </c>
      <c r="AJ65" s="42">
        <f t="shared" ref="AJ65" si="112">SUM(AJ66:AJ68)</f>
        <v>43113</v>
      </c>
      <c r="AL65" s="42">
        <f t="shared" si="7"/>
        <v>24969</v>
      </c>
      <c r="AM65" s="42">
        <f t="shared" si="8"/>
        <v>1537</v>
      </c>
      <c r="AN65" s="42">
        <f t="shared" si="9"/>
        <v>-7285</v>
      </c>
      <c r="AO65" s="42">
        <f t="shared" si="106"/>
        <v>-7019</v>
      </c>
      <c r="AP65" s="42">
        <f t="shared" si="56"/>
        <v>-29215</v>
      </c>
      <c r="AQ65" s="42">
        <f t="shared" si="10"/>
        <v>-72699</v>
      </c>
      <c r="AR65" s="42">
        <f t="shared" si="64"/>
        <v>8590</v>
      </c>
      <c r="AS65" s="42">
        <f t="shared" si="55"/>
        <v>23149</v>
      </c>
      <c r="AT65" s="42">
        <f t="shared" si="55"/>
        <v>43113</v>
      </c>
      <c r="AU65" s="149"/>
      <c r="AV65" s="29"/>
      <c r="AX65" s="148"/>
      <c r="AY65" s="146"/>
      <c r="AZ65" s="146"/>
      <c r="BA65" s="29"/>
      <c r="BB65" s="29"/>
    </row>
    <row r="66" spans="2:54" ht="12" customHeight="1" x14ac:dyDescent="0.2">
      <c r="B66" s="34"/>
      <c r="C66" s="35" t="s">
        <v>95</v>
      </c>
      <c r="D66" s="36">
        <v>34878</v>
      </c>
      <c r="E66" s="36">
        <v>-34566</v>
      </c>
      <c r="F66" s="36">
        <v>-37176</v>
      </c>
      <c r="G66" s="36">
        <v>-31088</v>
      </c>
      <c r="H66" s="36">
        <v>35304</v>
      </c>
      <c r="I66" s="36">
        <v>-39573</v>
      </c>
      <c r="J66" s="36">
        <v>-39573</v>
      </c>
      <c r="K66" s="36">
        <v>-38724</v>
      </c>
      <c r="L66" s="36">
        <v>14685</v>
      </c>
      <c r="M66" s="36">
        <v>-1347</v>
      </c>
      <c r="N66" s="36">
        <v>-51458</v>
      </c>
      <c r="O66" s="36">
        <v>-54383</v>
      </c>
      <c r="P66" s="36">
        <v>5851</v>
      </c>
      <c r="Q66" s="36">
        <v>-61101</v>
      </c>
      <c r="R66" s="36">
        <v>-69219</v>
      </c>
      <c r="S66" s="36">
        <v>-69220</v>
      </c>
      <c r="T66" s="36">
        <v>-16718</v>
      </c>
      <c r="U66" s="36">
        <v>-37090</v>
      </c>
      <c r="V66" s="36">
        <v>-37089</v>
      </c>
      <c r="W66" s="36">
        <v>-35831</v>
      </c>
      <c r="X66" s="36">
        <v>-29099</v>
      </c>
      <c r="Y66" s="36">
        <v>-75025</v>
      </c>
      <c r="Z66" s="36">
        <v>-75020</v>
      </c>
      <c r="AA66" s="36">
        <v>-75028</v>
      </c>
      <c r="AB66" s="36">
        <v>-66889</v>
      </c>
      <c r="AC66" s="36">
        <v>-55756</v>
      </c>
      <c r="AD66" s="36">
        <v>-55757</v>
      </c>
      <c r="AE66" s="36">
        <v>-55756</v>
      </c>
      <c r="AF66" s="36">
        <v>17306</v>
      </c>
      <c r="AG66" s="36">
        <v>-55936</v>
      </c>
      <c r="AH66" s="36">
        <v>-55936</v>
      </c>
      <c r="AI66" s="36">
        <v>-55936</v>
      </c>
      <c r="AJ66" s="36">
        <v>23149</v>
      </c>
      <c r="AL66" s="36">
        <f t="shared" si="7"/>
        <v>-31088</v>
      </c>
      <c r="AM66" s="36">
        <f t="shared" si="8"/>
        <v>-38724</v>
      </c>
      <c r="AN66" s="36">
        <f t="shared" si="9"/>
        <v>-54383</v>
      </c>
      <c r="AO66" s="36">
        <f t="shared" si="106"/>
        <v>-69220</v>
      </c>
      <c r="AP66" s="36">
        <f t="shared" si="56"/>
        <v>-35831</v>
      </c>
      <c r="AQ66" s="36">
        <f t="shared" si="10"/>
        <v>-75028</v>
      </c>
      <c r="AR66" s="36">
        <f t="shared" si="64"/>
        <v>-55756</v>
      </c>
      <c r="AS66" s="36">
        <f t="shared" si="55"/>
        <v>-55936</v>
      </c>
      <c r="AT66" s="36">
        <f t="shared" si="55"/>
        <v>23149</v>
      </c>
      <c r="AU66" s="149"/>
      <c r="AX66" s="148"/>
      <c r="AZ66" s="146"/>
    </row>
    <row r="67" spans="2:54" ht="12" customHeight="1" x14ac:dyDescent="0.2">
      <c r="B67" s="34"/>
      <c r="C67" s="35" t="s">
        <v>96</v>
      </c>
      <c r="D67" s="36">
        <v>14349</v>
      </c>
      <c r="E67" s="36">
        <v>34590</v>
      </c>
      <c r="F67" s="36">
        <v>51621</v>
      </c>
      <c r="G67" s="36">
        <v>67788</v>
      </c>
      <c r="H67" s="36">
        <v>15210</v>
      </c>
      <c r="I67" s="36">
        <v>29895</v>
      </c>
      <c r="J67" s="36">
        <v>44259</v>
      </c>
      <c r="K67" s="36">
        <v>53410</v>
      </c>
      <c r="L67" s="36">
        <v>16886</v>
      </c>
      <c r="M67" s="36">
        <v>31232</v>
      </c>
      <c r="N67" s="36">
        <v>47911</v>
      </c>
      <c r="O67" s="36">
        <v>60234</v>
      </c>
      <c r="P67" s="36">
        <v>40382</v>
      </c>
      <c r="Q67" s="36">
        <v>49512</v>
      </c>
      <c r="R67" s="36">
        <v>63186</v>
      </c>
      <c r="S67" s="36">
        <v>62201</v>
      </c>
      <c r="T67" s="36">
        <v>-3993</v>
      </c>
      <c r="U67" s="36">
        <v>992</v>
      </c>
      <c r="V67" s="36">
        <v>-2483</v>
      </c>
      <c r="W67" s="36">
        <v>6616</v>
      </c>
      <c r="X67" s="36">
        <v>8546</v>
      </c>
      <c r="Y67" s="36">
        <v>12424</v>
      </c>
      <c r="Z67" s="36">
        <v>20880</v>
      </c>
      <c r="AA67" s="36">
        <v>8138</v>
      </c>
      <c r="AB67" s="36">
        <v>11970</v>
      </c>
      <c r="AC67" s="36">
        <v>38328</v>
      </c>
      <c r="AD67" s="36">
        <v>55735</v>
      </c>
      <c r="AE67" s="36">
        <v>73060</v>
      </c>
      <c r="AF67" s="36">
        <v>12029</v>
      </c>
      <c r="AG67" s="36">
        <v>29781</v>
      </c>
      <c r="AH67" s="36">
        <v>53051</v>
      </c>
      <c r="AI67" s="36">
        <v>79085</v>
      </c>
      <c r="AJ67" s="36">
        <v>19964</v>
      </c>
      <c r="AL67" s="36">
        <f t="shared" si="7"/>
        <v>67788</v>
      </c>
      <c r="AM67" s="36">
        <f t="shared" si="8"/>
        <v>53410</v>
      </c>
      <c r="AN67" s="36">
        <f t="shared" si="9"/>
        <v>60234</v>
      </c>
      <c r="AO67" s="36">
        <f t="shared" si="106"/>
        <v>62201</v>
      </c>
      <c r="AP67" s="36">
        <f t="shared" si="56"/>
        <v>6616</v>
      </c>
      <c r="AQ67" s="36">
        <f t="shared" si="10"/>
        <v>8138</v>
      </c>
      <c r="AR67" s="36">
        <f t="shared" si="64"/>
        <v>73060</v>
      </c>
      <c r="AS67" s="36">
        <f t="shared" si="55"/>
        <v>79085</v>
      </c>
      <c r="AT67" s="36">
        <f t="shared" si="55"/>
        <v>19964</v>
      </c>
      <c r="AU67" s="149"/>
      <c r="AX67" s="148"/>
      <c r="AZ67" s="146"/>
    </row>
    <row r="68" spans="2:54" ht="12" customHeight="1" x14ac:dyDescent="0.2">
      <c r="B68" s="34"/>
      <c r="C68" s="35" t="s">
        <v>97</v>
      </c>
      <c r="D68" s="36">
        <v>-10327</v>
      </c>
      <c r="E68" s="36">
        <v>0</v>
      </c>
      <c r="F68" s="36">
        <v>0</v>
      </c>
      <c r="G68" s="36">
        <v>-11731</v>
      </c>
      <c r="H68" s="36">
        <v>-11731</v>
      </c>
      <c r="I68" s="36">
        <v>0</v>
      </c>
      <c r="J68" s="36">
        <v>0</v>
      </c>
      <c r="K68" s="36">
        <v>-13149</v>
      </c>
      <c r="L68" s="36">
        <v>-13148</v>
      </c>
      <c r="M68" s="36">
        <v>-13148</v>
      </c>
      <c r="N68" s="36">
        <v>0</v>
      </c>
      <c r="O68" s="36">
        <v>-13136</v>
      </c>
      <c r="P68" s="36">
        <v>-13136</v>
      </c>
      <c r="Q68" s="36">
        <v>0</v>
      </c>
      <c r="R68" s="36">
        <v>0</v>
      </c>
      <c r="S68" s="36">
        <v>0</v>
      </c>
      <c r="T68" s="36">
        <v>-8743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-5809</v>
      </c>
      <c r="AB68" s="36">
        <v>-5810</v>
      </c>
      <c r="AC68" s="36">
        <v>0</v>
      </c>
      <c r="AD68" s="36">
        <v>0</v>
      </c>
      <c r="AE68" s="36">
        <v>-8714</v>
      </c>
      <c r="AF68" s="36">
        <v>-8714</v>
      </c>
      <c r="AG68" s="36">
        <v>0</v>
      </c>
      <c r="AH68" s="36">
        <v>0</v>
      </c>
      <c r="AI68" s="36">
        <v>0</v>
      </c>
      <c r="AJ68" s="36">
        <v>0</v>
      </c>
      <c r="AL68" s="36">
        <f t="shared" si="7"/>
        <v>-11731</v>
      </c>
      <c r="AM68" s="36">
        <f t="shared" si="8"/>
        <v>-13149</v>
      </c>
      <c r="AN68" s="36">
        <f t="shared" si="9"/>
        <v>-13136</v>
      </c>
      <c r="AO68" s="36">
        <f t="shared" si="106"/>
        <v>0</v>
      </c>
      <c r="AP68" s="36">
        <f t="shared" si="56"/>
        <v>0</v>
      </c>
      <c r="AQ68" s="36">
        <f t="shared" si="10"/>
        <v>-5809</v>
      </c>
      <c r="AR68" s="36">
        <f t="shared" si="64"/>
        <v>-8714</v>
      </c>
      <c r="AS68" s="36">
        <f t="shared" si="55"/>
        <v>0</v>
      </c>
      <c r="AT68" s="36">
        <f t="shared" si="55"/>
        <v>0</v>
      </c>
      <c r="AU68" s="149"/>
      <c r="AV68" s="38"/>
      <c r="AX68" s="148"/>
      <c r="AZ68" s="146"/>
    </row>
    <row r="69" spans="2:54" ht="12" customHeight="1" x14ac:dyDescent="0.2">
      <c r="B69" s="222" t="s">
        <v>98</v>
      </c>
      <c r="C69" s="222"/>
      <c r="D69" s="30">
        <v>5135</v>
      </c>
      <c r="E69" s="30">
        <v>6451</v>
      </c>
      <c r="F69" s="30">
        <v>5665</v>
      </c>
      <c r="G69" s="30">
        <v>5593</v>
      </c>
      <c r="H69" s="30">
        <v>5804</v>
      </c>
      <c r="I69" s="30">
        <v>5949</v>
      </c>
      <c r="J69" s="30">
        <v>6151</v>
      </c>
      <c r="K69" s="30">
        <v>6700</v>
      </c>
      <c r="L69" s="30">
        <v>7151</v>
      </c>
      <c r="M69" s="30">
        <v>7314</v>
      </c>
      <c r="N69" s="30">
        <v>7544</v>
      </c>
      <c r="O69" s="30">
        <v>7485</v>
      </c>
      <c r="P69" s="30">
        <v>8457</v>
      </c>
      <c r="Q69" s="30">
        <v>8612</v>
      </c>
      <c r="R69" s="30">
        <v>3840</v>
      </c>
      <c r="S69" s="30">
        <v>3930</v>
      </c>
      <c r="T69" s="30">
        <v>1579</v>
      </c>
      <c r="U69" s="30">
        <v>1533</v>
      </c>
      <c r="V69" s="30">
        <v>1647</v>
      </c>
      <c r="W69" s="30">
        <v>1801</v>
      </c>
      <c r="X69" s="30">
        <v>2055</v>
      </c>
      <c r="Y69" s="30">
        <v>2172</v>
      </c>
      <c r="Z69" s="30">
        <v>2111</v>
      </c>
      <c r="AA69" s="30">
        <v>2058</v>
      </c>
      <c r="AB69" s="30">
        <v>2107</v>
      </c>
      <c r="AC69" s="30">
        <v>2250</v>
      </c>
      <c r="AD69" s="30">
        <v>2380</v>
      </c>
      <c r="AE69" s="30">
        <v>2212</v>
      </c>
      <c r="AF69" s="30">
        <v>2368</v>
      </c>
      <c r="AG69" s="30">
        <v>2589</v>
      </c>
      <c r="AH69" s="30">
        <v>2431</v>
      </c>
      <c r="AI69" s="30">
        <v>2224</v>
      </c>
      <c r="AJ69" s="30">
        <v>2346</v>
      </c>
      <c r="AL69" s="30">
        <f t="shared" si="7"/>
        <v>5593</v>
      </c>
      <c r="AM69" s="30">
        <f t="shared" si="8"/>
        <v>6700</v>
      </c>
      <c r="AN69" s="30">
        <f t="shared" si="9"/>
        <v>7485</v>
      </c>
      <c r="AO69" s="30">
        <f t="shared" si="106"/>
        <v>3930</v>
      </c>
      <c r="AP69" s="30">
        <f t="shared" si="56"/>
        <v>1801</v>
      </c>
      <c r="AQ69" s="30">
        <f t="shared" si="10"/>
        <v>2058</v>
      </c>
      <c r="AR69" s="30">
        <f t="shared" si="64"/>
        <v>2212</v>
      </c>
      <c r="AS69" s="30">
        <f t="shared" si="55"/>
        <v>2224</v>
      </c>
      <c r="AT69" s="30">
        <f t="shared" si="55"/>
        <v>2346</v>
      </c>
      <c r="AU69" s="149"/>
      <c r="AV69" s="146"/>
      <c r="AX69" s="148"/>
      <c r="AZ69" s="146"/>
    </row>
    <row r="70" spans="2:54" ht="12" customHeight="1" x14ac:dyDescent="0.2">
      <c r="B70" s="218" t="s">
        <v>99</v>
      </c>
      <c r="C70" s="218"/>
      <c r="D70" s="39">
        <f t="shared" ref="D70:F70" si="113">SUM(D71,D86)</f>
        <v>357876</v>
      </c>
      <c r="E70" s="39">
        <f t="shared" si="113"/>
        <v>377033</v>
      </c>
      <c r="F70" s="39">
        <f t="shared" si="113"/>
        <v>360052</v>
      </c>
      <c r="G70" s="39">
        <f>SUM(G71,G86)</f>
        <v>362206</v>
      </c>
      <c r="H70" s="39">
        <f t="shared" ref="H70:N70" si="114">SUM(H71,H86)</f>
        <v>379584</v>
      </c>
      <c r="I70" s="39">
        <f t="shared" si="114"/>
        <v>379908</v>
      </c>
      <c r="J70" s="39">
        <f t="shared" si="114"/>
        <v>376821</v>
      </c>
      <c r="K70" s="39">
        <f t="shared" si="114"/>
        <v>394947</v>
      </c>
      <c r="L70" s="39">
        <f t="shared" si="114"/>
        <v>398750.00499999995</v>
      </c>
      <c r="M70" s="39">
        <f t="shared" si="114"/>
        <v>393561</v>
      </c>
      <c r="N70" s="39">
        <f t="shared" si="114"/>
        <v>401036</v>
      </c>
      <c r="O70" s="39">
        <f t="shared" ref="O70:P70" si="115">SUM(O71,O86)</f>
        <v>357375</v>
      </c>
      <c r="P70" s="39">
        <f t="shared" si="115"/>
        <v>391127</v>
      </c>
      <c r="Q70" s="39">
        <f t="shared" ref="Q70:R70" si="116">SUM(Q71,Q86)</f>
        <v>413370</v>
      </c>
      <c r="R70" s="39">
        <f t="shared" si="116"/>
        <v>441185</v>
      </c>
      <c r="S70" s="39">
        <f t="shared" ref="S70:T70" si="117">SUM(S71,S86)</f>
        <v>447985</v>
      </c>
      <c r="T70" s="39">
        <f t="shared" si="117"/>
        <v>516185</v>
      </c>
      <c r="U70" s="39">
        <f t="shared" ref="U70:V70" si="118">SUM(U71,U86)</f>
        <v>532233</v>
      </c>
      <c r="V70" s="39">
        <f t="shared" si="118"/>
        <v>534596</v>
      </c>
      <c r="W70" s="39">
        <f t="shared" ref="W70:X70" si="119">SUM(W71,W86)</f>
        <v>502899</v>
      </c>
      <c r="X70" s="39">
        <f t="shared" si="119"/>
        <v>509818</v>
      </c>
      <c r="Y70" s="39">
        <f t="shared" ref="Y70:Z70" si="120">SUM(Y71,Y86)</f>
        <v>503462</v>
      </c>
      <c r="Z70" s="39">
        <f t="shared" si="120"/>
        <v>502341</v>
      </c>
      <c r="AA70" s="39">
        <f t="shared" ref="AA70:AB70" si="121">SUM(AA71,AA86)</f>
        <v>436175</v>
      </c>
      <c r="AB70" s="39">
        <f t="shared" si="121"/>
        <v>434524</v>
      </c>
      <c r="AC70" s="39">
        <f t="shared" ref="AC70:AD70" si="122">SUM(AC71,AC86)</f>
        <v>405016</v>
      </c>
      <c r="AD70" s="39">
        <f t="shared" si="122"/>
        <v>390727</v>
      </c>
      <c r="AE70" s="39">
        <f t="shared" ref="AE70:AF70" si="123">SUM(AE71,AE86)</f>
        <v>372855</v>
      </c>
      <c r="AF70" s="39">
        <f t="shared" si="123"/>
        <v>381494</v>
      </c>
      <c r="AG70" s="39">
        <f t="shared" ref="AG70:AH70" si="124">SUM(AG71,AG86)</f>
        <v>396296</v>
      </c>
      <c r="AH70" s="39">
        <f t="shared" si="124"/>
        <v>397826</v>
      </c>
      <c r="AI70" s="39">
        <f t="shared" ref="AI70:AJ70" si="125">SUM(AI71,AI86)</f>
        <v>382539</v>
      </c>
      <c r="AJ70" s="39">
        <f t="shared" si="125"/>
        <v>397216</v>
      </c>
      <c r="AL70" s="39">
        <f t="shared" si="7"/>
        <v>362206</v>
      </c>
      <c r="AM70" s="39">
        <f t="shared" si="8"/>
        <v>394947</v>
      </c>
      <c r="AN70" s="39">
        <f t="shared" si="9"/>
        <v>357375</v>
      </c>
      <c r="AO70" s="39">
        <f t="shared" si="106"/>
        <v>447985</v>
      </c>
      <c r="AP70" s="39">
        <f t="shared" si="56"/>
        <v>502899</v>
      </c>
      <c r="AQ70" s="39">
        <f t="shared" si="10"/>
        <v>436175</v>
      </c>
      <c r="AR70" s="39">
        <f t="shared" si="64"/>
        <v>372855</v>
      </c>
      <c r="AS70" s="39">
        <f t="shared" si="55"/>
        <v>382539</v>
      </c>
      <c r="AT70" s="39">
        <f t="shared" si="55"/>
        <v>397216</v>
      </c>
      <c r="AU70" s="149"/>
      <c r="AV70" s="146"/>
      <c r="AX70" s="148"/>
      <c r="AZ70" s="146"/>
    </row>
    <row r="71" spans="2:54" ht="12" customHeight="1" x14ac:dyDescent="0.2">
      <c r="B71" s="219" t="s">
        <v>100</v>
      </c>
      <c r="C71" s="220"/>
      <c r="D71" s="39">
        <f t="shared" ref="D71:F71" si="126">SUM(D72,D75,D78:D85)</f>
        <v>68803</v>
      </c>
      <c r="E71" s="39">
        <f t="shared" si="126"/>
        <v>54579</v>
      </c>
      <c r="F71" s="39">
        <f t="shared" si="126"/>
        <v>56157</v>
      </c>
      <c r="G71" s="39">
        <f>SUM(G72,G75,G78:G85)</f>
        <v>54769</v>
      </c>
      <c r="H71" s="39">
        <f t="shared" ref="H71:N71" si="127">SUM(H72,H75,H78:H85)</f>
        <v>62611</v>
      </c>
      <c r="I71" s="39">
        <f t="shared" si="127"/>
        <v>68254</v>
      </c>
      <c r="J71" s="39">
        <f t="shared" si="127"/>
        <v>69706</v>
      </c>
      <c r="K71" s="39">
        <f t="shared" si="127"/>
        <v>57597</v>
      </c>
      <c r="L71" s="39">
        <f t="shared" si="127"/>
        <v>55728</v>
      </c>
      <c r="M71" s="39">
        <f t="shared" si="127"/>
        <v>52955</v>
      </c>
      <c r="N71" s="39">
        <f t="shared" si="127"/>
        <v>46406</v>
      </c>
      <c r="O71" s="39">
        <f t="shared" ref="O71:P71" si="128">SUM(O72,O75,O78:O85)</f>
        <v>46456</v>
      </c>
      <c r="P71" s="39">
        <f t="shared" si="128"/>
        <v>49016</v>
      </c>
      <c r="Q71" s="39">
        <f t="shared" ref="Q71:R71" si="129">SUM(Q72,Q75,Q78:Q85)</f>
        <v>49808</v>
      </c>
      <c r="R71" s="39">
        <f t="shared" si="129"/>
        <v>63532</v>
      </c>
      <c r="S71" s="39">
        <f t="shared" ref="S71:T71" si="130">SUM(S72,S75,S78:S85)</f>
        <v>71501</v>
      </c>
      <c r="T71" s="39">
        <f t="shared" si="130"/>
        <v>78260</v>
      </c>
      <c r="U71" s="39">
        <f t="shared" ref="U71:V71" si="131">SUM(U72,U75,U78:U85)</f>
        <v>87226</v>
      </c>
      <c r="V71" s="39">
        <f t="shared" si="131"/>
        <v>86100</v>
      </c>
      <c r="W71" s="39">
        <f t="shared" ref="W71:X71" si="132">SUM(W72,W75,W78:W85)</f>
        <v>45174</v>
      </c>
      <c r="X71" s="39">
        <f t="shared" si="132"/>
        <v>78539</v>
      </c>
      <c r="Y71" s="39">
        <f t="shared" ref="Y71:Z71" si="133">SUM(Y72,Y75,Y78:Y85)</f>
        <v>79729</v>
      </c>
      <c r="Z71" s="39">
        <f t="shared" si="133"/>
        <v>77464</v>
      </c>
      <c r="AA71" s="39">
        <f t="shared" ref="AA71:AB71" si="134">SUM(AA72,AA75,AA78:AA85)</f>
        <v>80106</v>
      </c>
      <c r="AB71" s="39">
        <f t="shared" si="134"/>
        <v>79431</v>
      </c>
      <c r="AC71" s="39">
        <f t="shared" ref="AC71:AD71" si="135">SUM(AC72,AC75,AC78:AC85)</f>
        <v>73467</v>
      </c>
      <c r="AD71" s="39">
        <f t="shared" si="135"/>
        <v>74641</v>
      </c>
      <c r="AE71" s="39">
        <f t="shared" ref="AE71:AJ71" si="136">SUM(AE72,AE75,AE78,AE81:AE85)</f>
        <v>63274</v>
      </c>
      <c r="AF71" s="39">
        <f t="shared" si="136"/>
        <v>61052</v>
      </c>
      <c r="AG71" s="39">
        <f t="shared" si="136"/>
        <v>59520</v>
      </c>
      <c r="AH71" s="39">
        <f t="shared" si="136"/>
        <v>61738</v>
      </c>
      <c r="AI71" s="39">
        <f t="shared" si="136"/>
        <v>57486</v>
      </c>
      <c r="AJ71" s="39">
        <f t="shared" si="136"/>
        <v>55261</v>
      </c>
      <c r="AL71" s="39">
        <f t="shared" si="7"/>
        <v>54769</v>
      </c>
      <c r="AM71" s="39">
        <f t="shared" si="8"/>
        <v>57597</v>
      </c>
      <c r="AN71" s="39">
        <f t="shared" si="9"/>
        <v>46456</v>
      </c>
      <c r="AO71" s="39">
        <f t="shared" si="106"/>
        <v>71501</v>
      </c>
      <c r="AP71" s="39">
        <f t="shared" si="56"/>
        <v>45174</v>
      </c>
      <c r="AQ71" s="39">
        <f t="shared" si="10"/>
        <v>80106</v>
      </c>
      <c r="AR71" s="39">
        <f t="shared" si="64"/>
        <v>63274</v>
      </c>
      <c r="AS71" s="39">
        <f t="shared" si="55"/>
        <v>57486</v>
      </c>
      <c r="AT71" s="39">
        <f t="shared" si="55"/>
        <v>55261</v>
      </c>
      <c r="AU71" s="149"/>
      <c r="AV71" s="146"/>
      <c r="AW71" s="38"/>
      <c r="AX71" s="148"/>
      <c r="AZ71" s="146"/>
    </row>
    <row r="72" spans="2:54" s="38" customFormat="1" ht="12" customHeight="1" x14ac:dyDescent="0.2">
      <c r="B72" s="40"/>
      <c r="C72" s="41" t="s">
        <v>101</v>
      </c>
      <c r="D72" s="42">
        <f t="shared" ref="D72:F72" si="137">SUM(D73:D74)</f>
        <v>44065</v>
      </c>
      <c r="E72" s="42">
        <f t="shared" si="137"/>
        <v>28312</v>
      </c>
      <c r="F72" s="42">
        <f t="shared" si="137"/>
        <v>26601</v>
      </c>
      <c r="G72" s="42">
        <f>SUM(G73:G74)</f>
        <v>24007</v>
      </c>
      <c r="H72" s="42">
        <f t="shared" ref="H72:N72" si="138">SUM(H73:H74)</f>
        <v>22452</v>
      </c>
      <c r="I72" s="42">
        <f t="shared" si="138"/>
        <v>20835</v>
      </c>
      <c r="J72" s="42">
        <f t="shared" si="138"/>
        <v>18299</v>
      </c>
      <c r="K72" s="42">
        <f t="shared" si="138"/>
        <v>15895</v>
      </c>
      <c r="L72" s="42">
        <f t="shared" si="138"/>
        <v>13993</v>
      </c>
      <c r="M72" s="42">
        <f t="shared" si="138"/>
        <v>11840</v>
      </c>
      <c r="N72" s="42">
        <f t="shared" si="138"/>
        <v>5228</v>
      </c>
      <c r="O72" s="42">
        <f t="shared" ref="O72:P72" si="139">SUM(O73:O74)</f>
        <v>4183</v>
      </c>
      <c r="P72" s="42">
        <f t="shared" si="139"/>
        <v>10948</v>
      </c>
      <c r="Q72" s="42">
        <f t="shared" ref="Q72:R72" si="140">SUM(Q73:Q74)</f>
        <v>14603</v>
      </c>
      <c r="R72" s="42">
        <f t="shared" si="140"/>
        <v>28127</v>
      </c>
      <c r="S72" s="42">
        <f t="shared" ref="S72:T72" si="141">SUM(S73:S74)</f>
        <v>35980</v>
      </c>
      <c r="T72" s="42">
        <f t="shared" si="141"/>
        <v>41650</v>
      </c>
      <c r="U72" s="42">
        <f t="shared" ref="U72:V72" si="142">SUM(U73:U74)</f>
        <v>42298</v>
      </c>
      <c r="V72" s="42">
        <f t="shared" si="142"/>
        <v>40131</v>
      </c>
      <c r="W72" s="42">
        <f t="shared" ref="W72:X72" si="143">SUM(W73:W74)</f>
        <v>3119</v>
      </c>
      <c r="X72" s="42">
        <f t="shared" si="143"/>
        <v>35311</v>
      </c>
      <c r="Y72" s="42">
        <f t="shared" ref="Y72:Z72" si="144">SUM(Y73:Y74)</f>
        <v>32957</v>
      </c>
      <c r="Z72" s="42">
        <f t="shared" si="144"/>
        <v>30879</v>
      </c>
      <c r="AA72" s="42">
        <f t="shared" ref="AA72:AB72" si="145">SUM(AA73:AA74)</f>
        <v>29545</v>
      </c>
      <c r="AB72" s="42">
        <f t="shared" si="145"/>
        <v>28314</v>
      </c>
      <c r="AC72" s="42">
        <f t="shared" ref="AC72:AD72" si="146">SUM(AC73:AC74)</f>
        <v>27083</v>
      </c>
      <c r="AD72" s="42">
        <f t="shared" si="146"/>
        <v>25950</v>
      </c>
      <c r="AE72" s="42">
        <f t="shared" ref="AE72:AF72" si="147">SUM(AE73:AE74)</f>
        <v>24621</v>
      </c>
      <c r="AF72" s="42">
        <f t="shared" si="147"/>
        <v>23390</v>
      </c>
      <c r="AG72" s="42">
        <f t="shared" ref="AG72:AH72" si="148">SUM(AG73:AG74)</f>
        <v>22159</v>
      </c>
      <c r="AH72" s="42">
        <f t="shared" si="148"/>
        <v>20928</v>
      </c>
      <c r="AI72" s="42">
        <f t="shared" ref="AI72:AJ72" si="149">SUM(AI73:AI74)</f>
        <v>19696</v>
      </c>
      <c r="AJ72" s="42">
        <f t="shared" si="149"/>
        <v>18466</v>
      </c>
      <c r="AL72" s="42">
        <f t="shared" si="7"/>
        <v>24007</v>
      </c>
      <c r="AM72" s="42">
        <f t="shared" si="8"/>
        <v>15895</v>
      </c>
      <c r="AN72" s="42">
        <f t="shared" si="9"/>
        <v>4183</v>
      </c>
      <c r="AO72" s="42">
        <f t="shared" si="106"/>
        <v>35980</v>
      </c>
      <c r="AP72" s="42">
        <f t="shared" si="56"/>
        <v>3119</v>
      </c>
      <c r="AQ72" s="42">
        <f t="shared" si="10"/>
        <v>29545</v>
      </c>
      <c r="AR72" s="42">
        <f t="shared" si="64"/>
        <v>24621</v>
      </c>
      <c r="AS72" s="42">
        <f t="shared" si="55"/>
        <v>19696</v>
      </c>
      <c r="AT72" s="42">
        <f t="shared" si="55"/>
        <v>18466</v>
      </c>
      <c r="AU72" s="149"/>
      <c r="AV72" s="29"/>
      <c r="AX72" s="148"/>
      <c r="AY72" s="146"/>
      <c r="AZ72" s="146"/>
      <c r="BA72" s="29"/>
      <c r="BB72" s="29"/>
    </row>
    <row r="73" spans="2:54" ht="12" customHeight="1" x14ac:dyDescent="0.2">
      <c r="B73" s="34"/>
      <c r="C73" s="35" t="s">
        <v>55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  <c r="AI73" s="36">
        <v>0</v>
      </c>
      <c r="AJ73" s="36">
        <v>0</v>
      </c>
      <c r="AL73" s="36">
        <f t="shared" si="7"/>
        <v>0</v>
      </c>
      <c r="AM73" s="36">
        <f t="shared" si="8"/>
        <v>0</v>
      </c>
      <c r="AN73" s="36">
        <f t="shared" si="9"/>
        <v>0</v>
      </c>
      <c r="AO73" s="36">
        <f t="shared" si="106"/>
        <v>0</v>
      </c>
      <c r="AP73" s="36">
        <f t="shared" si="56"/>
        <v>0</v>
      </c>
      <c r="AQ73" s="36">
        <f t="shared" si="10"/>
        <v>0</v>
      </c>
      <c r="AR73" s="36">
        <f t="shared" si="64"/>
        <v>0</v>
      </c>
      <c r="AS73" s="36">
        <f t="shared" si="55"/>
        <v>0</v>
      </c>
      <c r="AT73" s="36">
        <f t="shared" si="55"/>
        <v>0</v>
      </c>
      <c r="AU73" s="149"/>
      <c r="AX73" s="148"/>
      <c r="AZ73" s="146"/>
    </row>
    <row r="74" spans="2:54" ht="12" customHeight="1" x14ac:dyDescent="0.2">
      <c r="B74" s="34"/>
      <c r="C74" s="35" t="s">
        <v>56</v>
      </c>
      <c r="D74" s="36">
        <v>44065</v>
      </c>
      <c r="E74" s="36">
        <v>28312</v>
      </c>
      <c r="F74" s="36">
        <v>26601</v>
      </c>
      <c r="G74" s="36">
        <v>24007</v>
      </c>
      <c r="H74" s="36">
        <v>22452</v>
      </c>
      <c r="I74" s="36">
        <v>20835</v>
      </c>
      <c r="J74" s="36">
        <v>18299</v>
      </c>
      <c r="K74" s="36">
        <v>15895</v>
      </c>
      <c r="L74" s="36">
        <v>13993</v>
      </c>
      <c r="M74" s="36">
        <v>11840</v>
      </c>
      <c r="N74" s="36">
        <v>5228</v>
      </c>
      <c r="O74" s="36">
        <v>4183</v>
      </c>
      <c r="P74" s="36">
        <v>10948</v>
      </c>
      <c r="Q74" s="36">
        <v>14603</v>
      </c>
      <c r="R74" s="36">
        <v>28127</v>
      </c>
      <c r="S74" s="36">
        <v>35980</v>
      </c>
      <c r="T74" s="36">
        <v>41650</v>
      </c>
      <c r="U74" s="36">
        <v>42298</v>
      </c>
      <c r="V74" s="36">
        <v>40131</v>
      </c>
      <c r="W74" s="36">
        <v>3119</v>
      </c>
      <c r="X74" s="36">
        <v>35311</v>
      </c>
      <c r="Y74" s="36">
        <v>32957</v>
      </c>
      <c r="Z74" s="36">
        <v>30879</v>
      </c>
      <c r="AA74" s="36">
        <v>29545</v>
      </c>
      <c r="AB74" s="36">
        <v>28314</v>
      </c>
      <c r="AC74" s="36">
        <v>27083</v>
      </c>
      <c r="AD74" s="36">
        <v>25950</v>
      </c>
      <c r="AE74" s="36">
        <v>24621</v>
      </c>
      <c r="AF74" s="36">
        <v>23390</v>
      </c>
      <c r="AG74" s="36">
        <v>22159</v>
      </c>
      <c r="AH74" s="36">
        <v>20928</v>
      </c>
      <c r="AI74" s="36">
        <v>19696</v>
      </c>
      <c r="AJ74" s="36">
        <v>18466</v>
      </c>
      <c r="AL74" s="36">
        <f t="shared" si="7"/>
        <v>24007</v>
      </c>
      <c r="AM74" s="36">
        <f t="shared" si="8"/>
        <v>15895</v>
      </c>
      <c r="AN74" s="36">
        <f t="shared" si="9"/>
        <v>4183</v>
      </c>
      <c r="AO74" s="36">
        <f t="shared" si="106"/>
        <v>35980</v>
      </c>
      <c r="AP74" s="36">
        <f t="shared" si="56"/>
        <v>3119</v>
      </c>
      <c r="AQ74" s="36">
        <f t="shared" si="10"/>
        <v>29545</v>
      </c>
      <c r="AR74" s="36">
        <f t="shared" si="64"/>
        <v>24621</v>
      </c>
      <c r="AS74" s="36">
        <f t="shared" si="55"/>
        <v>19696</v>
      </c>
      <c r="AT74" s="36">
        <f t="shared" si="55"/>
        <v>18466</v>
      </c>
      <c r="AU74" s="149"/>
      <c r="AX74" s="148"/>
      <c r="AZ74" s="146"/>
    </row>
    <row r="75" spans="2:54" s="38" customFormat="1" ht="12" customHeight="1" x14ac:dyDescent="0.2">
      <c r="B75" s="40"/>
      <c r="C75" s="41" t="s">
        <v>102</v>
      </c>
      <c r="D75" s="42">
        <f t="shared" ref="D75:F75" si="150">D76+D77</f>
        <v>8625</v>
      </c>
      <c r="E75" s="42">
        <f t="shared" si="150"/>
        <v>10909</v>
      </c>
      <c r="F75" s="42">
        <f t="shared" si="150"/>
        <v>16704</v>
      </c>
      <c r="G75" s="42">
        <f>G76+G77</f>
        <v>9383</v>
      </c>
      <c r="H75" s="42">
        <f t="shared" ref="H75:R75" si="151">H76+H77</f>
        <v>9556</v>
      </c>
      <c r="I75" s="42">
        <f t="shared" si="151"/>
        <v>7882</v>
      </c>
      <c r="J75" s="42">
        <f t="shared" si="151"/>
        <v>11516</v>
      </c>
      <c r="K75" s="42">
        <f t="shared" si="151"/>
        <v>2470</v>
      </c>
      <c r="L75" s="42">
        <f t="shared" si="151"/>
        <v>3776</v>
      </c>
      <c r="M75" s="42">
        <f t="shared" si="151"/>
        <v>1863</v>
      </c>
      <c r="N75" s="42">
        <f t="shared" si="151"/>
        <v>1899</v>
      </c>
      <c r="O75" s="42">
        <f t="shared" si="151"/>
        <v>2105</v>
      </c>
      <c r="P75" s="42">
        <f t="shared" si="151"/>
        <v>1956</v>
      </c>
      <c r="Q75" s="42">
        <f t="shared" si="151"/>
        <v>805</v>
      </c>
      <c r="R75" s="42">
        <f t="shared" si="151"/>
        <v>845</v>
      </c>
      <c r="S75" s="42">
        <f t="shared" ref="S75:V75" si="152">S76+S77</f>
        <v>3518</v>
      </c>
      <c r="T75" s="42">
        <f t="shared" si="152"/>
        <v>3427</v>
      </c>
      <c r="U75" s="42">
        <f t="shared" si="152"/>
        <v>2544</v>
      </c>
      <c r="V75" s="42">
        <f t="shared" si="152"/>
        <v>1464</v>
      </c>
      <c r="W75" s="42">
        <f t="shared" ref="W75:AD75" si="153">W76+W77</f>
        <v>52</v>
      </c>
      <c r="X75" s="42">
        <f t="shared" si="153"/>
        <v>69</v>
      </c>
      <c r="Y75" s="42">
        <f t="shared" si="153"/>
        <v>832</v>
      </c>
      <c r="Z75" s="42">
        <f t="shared" si="153"/>
        <v>1924</v>
      </c>
      <c r="AA75" s="42">
        <f t="shared" si="153"/>
        <v>2750</v>
      </c>
      <c r="AB75" s="42">
        <f t="shared" si="153"/>
        <v>2660</v>
      </c>
      <c r="AC75" s="42">
        <f t="shared" si="153"/>
        <v>5</v>
      </c>
      <c r="AD75" s="42">
        <f t="shared" si="153"/>
        <v>5</v>
      </c>
      <c r="AE75" s="42">
        <f t="shared" ref="AE75:AI75" si="154">AE76+AE77</f>
        <v>0</v>
      </c>
      <c r="AF75" s="42">
        <f t="shared" si="154"/>
        <v>0</v>
      </c>
      <c r="AG75" s="42">
        <f t="shared" si="154"/>
        <v>0</v>
      </c>
      <c r="AH75" s="42">
        <f t="shared" si="154"/>
        <v>0</v>
      </c>
      <c r="AI75" s="42">
        <f t="shared" si="154"/>
        <v>325</v>
      </c>
      <c r="AJ75" s="42">
        <f t="shared" ref="AJ75" si="155">AJ76+AJ77</f>
        <v>325</v>
      </c>
      <c r="AL75" s="42">
        <f t="shared" si="7"/>
        <v>9383</v>
      </c>
      <c r="AM75" s="42">
        <f t="shared" si="8"/>
        <v>2470</v>
      </c>
      <c r="AN75" s="42">
        <f t="shared" si="9"/>
        <v>2105</v>
      </c>
      <c r="AO75" s="42">
        <f t="shared" si="106"/>
        <v>3518</v>
      </c>
      <c r="AP75" s="42">
        <f t="shared" si="56"/>
        <v>52</v>
      </c>
      <c r="AQ75" s="42">
        <f t="shared" si="10"/>
        <v>2750</v>
      </c>
      <c r="AR75" s="42">
        <f t="shared" si="64"/>
        <v>0</v>
      </c>
      <c r="AS75" s="42">
        <f t="shared" ref="AS75:AT106" si="156">AI75</f>
        <v>325</v>
      </c>
      <c r="AT75" s="42">
        <f t="shared" si="156"/>
        <v>325</v>
      </c>
      <c r="AU75" s="149"/>
      <c r="AV75" s="29"/>
      <c r="AX75" s="148"/>
      <c r="AY75" s="146"/>
      <c r="AZ75" s="146"/>
      <c r="BA75" s="29"/>
      <c r="BB75" s="29"/>
    </row>
    <row r="76" spans="2:54" ht="12" customHeight="1" x14ac:dyDescent="0.2">
      <c r="B76" s="34"/>
      <c r="C76" s="35" t="s">
        <v>103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  <c r="AI76" s="36">
        <v>0</v>
      </c>
      <c r="AJ76" s="36">
        <v>0</v>
      </c>
      <c r="AL76" s="36">
        <f t="shared" si="7"/>
        <v>0</v>
      </c>
      <c r="AM76" s="36">
        <f t="shared" si="8"/>
        <v>0</v>
      </c>
      <c r="AN76" s="36">
        <f t="shared" si="9"/>
        <v>0</v>
      </c>
      <c r="AO76" s="36">
        <f t="shared" si="106"/>
        <v>0</v>
      </c>
      <c r="AP76" s="36">
        <f t="shared" si="56"/>
        <v>0</v>
      </c>
      <c r="AQ76" s="36">
        <f t="shared" si="10"/>
        <v>0</v>
      </c>
      <c r="AR76" s="36">
        <f t="shared" si="64"/>
        <v>0</v>
      </c>
      <c r="AS76" s="36">
        <f t="shared" si="156"/>
        <v>0</v>
      </c>
      <c r="AT76" s="36">
        <f t="shared" si="156"/>
        <v>0</v>
      </c>
      <c r="AU76" s="149"/>
      <c r="AX76" s="148"/>
      <c r="AZ76" s="146"/>
    </row>
    <row r="77" spans="2:54" ht="12" customHeight="1" x14ac:dyDescent="0.2">
      <c r="B77" s="34"/>
      <c r="C77" s="35" t="s">
        <v>104</v>
      </c>
      <c r="D77" s="36">
        <v>8625</v>
      </c>
      <c r="E77" s="36">
        <v>10909</v>
      </c>
      <c r="F77" s="36">
        <v>16704</v>
      </c>
      <c r="G77" s="36">
        <v>9383</v>
      </c>
      <c r="H77" s="36">
        <v>9556</v>
      </c>
      <c r="I77" s="36">
        <v>7882</v>
      </c>
      <c r="J77" s="36">
        <v>11516</v>
      </c>
      <c r="K77" s="36">
        <v>2470</v>
      </c>
      <c r="L77" s="36">
        <v>3776</v>
      </c>
      <c r="M77" s="36">
        <v>1863</v>
      </c>
      <c r="N77" s="36">
        <v>1899</v>
      </c>
      <c r="O77" s="36">
        <v>2105</v>
      </c>
      <c r="P77" s="36">
        <v>1956</v>
      </c>
      <c r="Q77" s="36">
        <v>805</v>
      </c>
      <c r="R77" s="36">
        <v>845</v>
      </c>
      <c r="S77" s="36">
        <v>3518</v>
      </c>
      <c r="T77" s="36">
        <v>3427</v>
      </c>
      <c r="U77" s="36">
        <v>2544</v>
      </c>
      <c r="V77" s="36">
        <v>1464</v>
      </c>
      <c r="W77" s="36">
        <v>52</v>
      </c>
      <c r="X77" s="36">
        <v>69</v>
      </c>
      <c r="Y77" s="36">
        <v>832</v>
      </c>
      <c r="Z77" s="36">
        <v>1924</v>
      </c>
      <c r="AA77" s="36">
        <v>2750</v>
      </c>
      <c r="AB77" s="36">
        <v>2660</v>
      </c>
      <c r="AC77" s="36">
        <v>5</v>
      </c>
      <c r="AD77" s="36">
        <v>5</v>
      </c>
      <c r="AE77" s="36"/>
      <c r="AF77" s="36"/>
      <c r="AG77" s="36"/>
      <c r="AH77" s="36">
        <v>0</v>
      </c>
      <c r="AI77" s="36">
        <v>325</v>
      </c>
      <c r="AJ77" s="36">
        <v>325</v>
      </c>
      <c r="AL77" s="36">
        <f t="shared" si="7"/>
        <v>9383</v>
      </c>
      <c r="AM77" s="36">
        <f t="shared" si="8"/>
        <v>2470</v>
      </c>
      <c r="AN77" s="36">
        <f t="shared" si="9"/>
        <v>2105</v>
      </c>
      <c r="AO77" s="36">
        <f t="shared" si="106"/>
        <v>3518</v>
      </c>
      <c r="AP77" s="36">
        <f t="shared" si="56"/>
        <v>52</v>
      </c>
      <c r="AQ77" s="36">
        <f t="shared" si="10"/>
        <v>2750</v>
      </c>
      <c r="AR77" s="36">
        <f t="shared" si="64"/>
        <v>0</v>
      </c>
      <c r="AS77" s="36">
        <f t="shared" si="156"/>
        <v>325</v>
      </c>
      <c r="AT77" s="36">
        <f t="shared" si="156"/>
        <v>325</v>
      </c>
      <c r="AU77" s="149"/>
      <c r="AX77" s="148"/>
      <c r="AZ77" s="146"/>
    </row>
    <row r="78" spans="2:54" ht="12" customHeight="1" x14ac:dyDescent="0.2">
      <c r="B78" s="34"/>
      <c r="C78" s="35" t="s">
        <v>105</v>
      </c>
      <c r="D78" s="36"/>
      <c r="E78" s="36"/>
      <c r="F78" s="36"/>
      <c r="G78" s="36">
        <v>3407</v>
      </c>
      <c r="H78" s="36">
        <v>0</v>
      </c>
      <c r="I78" s="36">
        <v>0</v>
      </c>
      <c r="J78" s="36"/>
      <c r="K78" s="36">
        <v>1954</v>
      </c>
      <c r="L78" s="36">
        <v>1709</v>
      </c>
      <c r="M78" s="36">
        <v>1465</v>
      </c>
      <c r="N78" s="36">
        <v>1221</v>
      </c>
      <c r="O78" s="36">
        <v>976</v>
      </c>
      <c r="P78" s="36">
        <v>732</v>
      </c>
      <c r="Q78" s="36">
        <v>488</v>
      </c>
      <c r="R78" s="36">
        <v>243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f t="shared" ref="AE78:AJ78" si="157">SUM(AE79:AE80)</f>
        <v>0</v>
      </c>
      <c r="AF78" s="36">
        <f t="shared" si="157"/>
        <v>0</v>
      </c>
      <c r="AG78" s="36">
        <f t="shared" si="157"/>
        <v>0</v>
      </c>
      <c r="AH78" s="36">
        <f t="shared" si="157"/>
        <v>0</v>
      </c>
      <c r="AI78" s="36">
        <f t="shared" si="157"/>
        <v>0</v>
      </c>
      <c r="AJ78" s="36">
        <f t="shared" si="157"/>
        <v>0</v>
      </c>
      <c r="AL78" s="36">
        <f t="shared" si="7"/>
        <v>3407</v>
      </c>
      <c r="AM78" s="36">
        <f t="shared" si="8"/>
        <v>1954</v>
      </c>
      <c r="AN78" s="36">
        <f t="shared" si="9"/>
        <v>976</v>
      </c>
      <c r="AO78" s="36">
        <f t="shared" si="106"/>
        <v>0</v>
      </c>
      <c r="AP78" s="36">
        <f t="shared" si="56"/>
        <v>0</v>
      </c>
      <c r="AQ78" s="36">
        <f t="shared" si="10"/>
        <v>0</v>
      </c>
      <c r="AR78" s="36">
        <f t="shared" si="64"/>
        <v>0</v>
      </c>
      <c r="AS78" s="36">
        <f t="shared" si="156"/>
        <v>0</v>
      </c>
      <c r="AT78" s="36">
        <f t="shared" si="156"/>
        <v>0</v>
      </c>
      <c r="AX78" s="148"/>
      <c r="AZ78" s="146"/>
    </row>
    <row r="79" spans="2:54" ht="12" customHeight="1" x14ac:dyDescent="0.2">
      <c r="B79" s="34"/>
      <c r="C79" s="35" t="s">
        <v>103</v>
      </c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>
        <v>0</v>
      </c>
      <c r="AH79" s="36">
        <v>0</v>
      </c>
      <c r="AI79" s="36">
        <v>0</v>
      </c>
      <c r="AJ79" s="36">
        <v>0</v>
      </c>
      <c r="AL79" s="36"/>
      <c r="AM79" s="36"/>
      <c r="AN79" s="36"/>
      <c r="AO79" s="36"/>
      <c r="AP79" s="36"/>
      <c r="AQ79" s="36"/>
      <c r="AR79" s="36">
        <f t="shared" ref="AR79:AR81" si="158">AE79</f>
        <v>0</v>
      </c>
      <c r="AS79" s="36">
        <f t="shared" si="156"/>
        <v>0</v>
      </c>
      <c r="AT79" s="36">
        <f t="shared" si="156"/>
        <v>0</v>
      </c>
      <c r="AX79" s="148"/>
      <c r="AZ79" s="146"/>
    </row>
    <row r="80" spans="2:54" ht="12" customHeight="1" x14ac:dyDescent="0.2">
      <c r="B80" s="34"/>
      <c r="C80" s="35" t="s">
        <v>104</v>
      </c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>
        <v>0</v>
      </c>
      <c r="AI80" s="36">
        <v>0</v>
      </c>
      <c r="AJ80" s="36">
        <v>0</v>
      </c>
      <c r="AL80" s="36"/>
      <c r="AM80" s="36"/>
      <c r="AN80" s="36"/>
      <c r="AO80" s="36"/>
      <c r="AP80" s="36"/>
      <c r="AQ80" s="36"/>
      <c r="AR80" s="36">
        <f t="shared" si="158"/>
        <v>0</v>
      </c>
      <c r="AS80" s="36">
        <f t="shared" si="156"/>
        <v>0</v>
      </c>
      <c r="AT80" s="36">
        <f t="shared" si="156"/>
        <v>0</v>
      </c>
      <c r="AX80" s="148"/>
      <c r="AZ80" s="146"/>
    </row>
    <row r="81" spans="2:54" ht="12" customHeight="1" x14ac:dyDescent="0.2">
      <c r="B81" s="34"/>
      <c r="C81" s="35" t="s">
        <v>338</v>
      </c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>
        <v>1040</v>
      </c>
      <c r="AD81" s="36">
        <v>1040</v>
      </c>
      <c r="AE81" s="36"/>
      <c r="AF81" s="36"/>
      <c r="AG81" s="36"/>
      <c r="AH81" s="36"/>
      <c r="AI81" s="36"/>
      <c r="AJ81" s="36"/>
      <c r="AL81" s="36"/>
      <c r="AM81" s="36"/>
      <c r="AN81" s="36"/>
      <c r="AO81" s="36"/>
      <c r="AP81" s="36"/>
      <c r="AQ81" s="36"/>
      <c r="AR81" s="36">
        <f t="shared" si="158"/>
        <v>0</v>
      </c>
      <c r="AS81" s="36">
        <f t="shared" si="156"/>
        <v>0</v>
      </c>
      <c r="AT81" s="36">
        <f t="shared" si="156"/>
        <v>0</v>
      </c>
      <c r="AZ81" s="146"/>
    </row>
    <row r="82" spans="2:54" ht="12" customHeight="1" x14ac:dyDescent="0.2">
      <c r="B82" s="34"/>
      <c r="C82" s="35" t="s">
        <v>106</v>
      </c>
      <c r="D82" s="36"/>
      <c r="E82" s="36"/>
      <c r="F82" s="36"/>
      <c r="G82" s="36">
        <v>5643</v>
      </c>
      <c r="H82" s="36">
        <v>18273</v>
      </c>
      <c r="I82" s="36">
        <v>24238</v>
      </c>
      <c r="J82" s="36">
        <v>24932</v>
      </c>
      <c r="K82" s="36">
        <v>21112</v>
      </c>
      <c r="L82" s="36">
        <v>20312</v>
      </c>
      <c r="M82" s="36">
        <v>21929</v>
      </c>
      <c r="N82" s="36">
        <v>20633</v>
      </c>
      <c r="O82" s="36">
        <v>22690</v>
      </c>
      <c r="P82" s="36">
        <v>20667</v>
      </c>
      <c r="Q82" s="36">
        <v>19424</v>
      </c>
      <c r="R82" s="36">
        <v>20160</v>
      </c>
      <c r="S82" s="36">
        <v>19642</v>
      </c>
      <c r="T82" s="36">
        <v>22268</v>
      </c>
      <c r="U82" s="36">
        <v>31586</v>
      </c>
      <c r="V82" s="36">
        <v>33716</v>
      </c>
      <c r="W82" s="36">
        <v>33299</v>
      </c>
      <c r="X82" s="36">
        <v>34482</v>
      </c>
      <c r="Y82" s="36">
        <v>37453</v>
      </c>
      <c r="Z82" s="36">
        <v>35987</v>
      </c>
      <c r="AA82" s="36">
        <v>37608</v>
      </c>
      <c r="AB82" s="36">
        <v>38289</v>
      </c>
      <c r="AC82" s="36">
        <v>33424</v>
      </c>
      <c r="AD82" s="36">
        <v>32150</v>
      </c>
      <c r="AE82" s="36">
        <v>28954</v>
      </c>
      <c r="AF82" s="36">
        <v>27876</v>
      </c>
      <c r="AG82" s="36">
        <v>27514</v>
      </c>
      <c r="AH82" s="36">
        <v>30014</v>
      </c>
      <c r="AI82" s="36">
        <v>27317</v>
      </c>
      <c r="AJ82" s="36">
        <v>26250</v>
      </c>
      <c r="AL82" s="36">
        <f t="shared" si="7"/>
        <v>5643</v>
      </c>
      <c r="AM82" s="36">
        <f t="shared" si="8"/>
        <v>21112</v>
      </c>
      <c r="AN82" s="36">
        <f t="shared" si="9"/>
        <v>22690</v>
      </c>
      <c r="AO82" s="36">
        <f t="shared" si="106"/>
        <v>19642</v>
      </c>
      <c r="AP82" s="36">
        <f t="shared" ref="AP82:AP106" si="159">W82</f>
        <v>33299</v>
      </c>
      <c r="AQ82" s="36">
        <f t="shared" si="10"/>
        <v>37608</v>
      </c>
      <c r="AR82" s="36">
        <f t="shared" ref="AR82:AR93" si="160">AE82</f>
        <v>28954</v>
      </c>
      <c r="AS82" s="36">
        <f t="shared" si="156"/>
        <v>27317</v>
      </c>
      <c r="AT82" s="36">
        <f t="shared" si="156"/>
        <v>26250</v>
      </c>
      <c r="AU82" s="29"/>
      <c r="AZ82" s="146"/>
    </row>
    <row r="83" spans="2:54" ht="12" customHeight="1" x14ac:dyDescent="0.2">
      <c r="B83" s="31"/>
      <c r="C83" s="32" t="s">
        <v>107</v>
      </c>
      <c r="D83" s="33">
        <v>8176</v>
      </c>
      <c r="E83" s="33">
        <v>7408</v>
      </c>
      <c r="F83" s="33">
        <v>4902</v>
      </c>
      <c r="G83" s="33">
        <v>4223</v>
      </c>
      <c r="H83" s="33">
        <v>4223</v>
      </c>
      <c r="I83" s="33">
        <v>7175</v>
      </c>
      <c r="J83" s="33">
        <v>6835</v>
      </c>
      <c r="K83" s="33">
        <v>7062</v>
      </c>
      <c r="L83" s="33">
        <v>6834</v>
      </c>
      <c r="M83" s="33">
        <v>6754</v>
      </c>
      <c r="N83" s="33">
        <v>7520</v>
      </c>
      <c r="O83" s="33">
        <v>7151</v>
      </c>
      <c r="P83" s="33">
        <v>5362</v>
      </c>
      <c r="Q83" s="33">
        <v>5137</v>
      </c>
      <c r="R83" s="33">
        <v>4860</v>
      </c>
      <c r="S83" s="33">
        <v>4432</v>
      </c>
      <c r="T83" s="33">
        <v>3249</v>
      </c>
      <c r="U83" s="33">
        <v>3132</v>
      </c>
      <c r="V83" s="33">
        <v>3123</v>
      </c>
      <c r="W83" s="33">
        <v>2939</v>
      </c>
      <c r="X83" s="33">
        <v>2912</v>
      </c>
      <c r="Y83" s="33">
        <v>2722</v>
      </c>
      <c r="Z83" s="33">
        <v>2909</v>
      </c>
      <c r="AA83" s="33">
        <v>3684</v>
      </c>
      <c r="AB83" s="33">
        <v>3649</v>
      </c>
      <c r="AC83" s="33">
        <v>3396</v>
      </c>
      <c r="AD83" s="33">
        <v>3977</v>
      </c>
      <c r="AE83" s="33">
        <v>2565</v>
      </c>
      <c r="AF83" s="33">
        <v>2559</v>
      </c>
      <c r="AG83" s="33">
        <v>2539</v>
      </c>
      <c r="AH83" s="33">
        <v>3407</v>
      </c>
      <c r="AI83" s="33">
        <v>2466</v>
      </c>
      <c r="AJ83" s="33">
        <v>2431</v>
      </c>
      <c r="AL83" s="33">
        <f t="shared" si="7"/>
        <v>4223</v>
      </c>
      <c r="AM83" s="33">
        <f t="shared" si="8"/>
        <v>7062</v>
      </c>
      <c r="AN83" s="33">
        <f t="shared" si="9"/>
        <v>7151</v>
      </c>
      <c r="AO83" s="33">
        <f t="shared" si="106"/>
        <v>4432</v>
      </c>
      <c r="AP83" s="33">
        <f t="shared" si="159"/>
        <v>2939</v>
      </c>
      <c r="AQ83" s="33">
        <f t="shared" ref="AQ83:AQ106" si="161">AA83</f>
        <v>3684</v>
      </c>
      <c r="AR83" s="33">
        <f t="shared" si="160"/>
        <v>2565</v>
      </c>
      <c r="AS83" s="33">
        <f t="shared" si="156"/>
        <v>2466</v>
      </c>
      <c r="AT83" s="33">
        <f t="shared" si="156"/>
        <v>2431</v>
      </c>
      <c r="AU83" s="149"/>
      <c r="AZ83" s="146"/>
    </row>
    <row r="84" spans="2:54" ht="12" customHeight="1" x14ac:dyDescent="0.2">
      <c r="B84" s="31"/>
      <c r="C84" s="32" t="s">
        <v>108</v>
      </c>
      <c r="D84" s="33">
        <v>6736</v>
      </c>
      <c r="E84" s="33">
        <v>6736</v>
      </c>
      <c r="F84" s="33">
        <v>6736</v>
      </c>
      <c r="G84" s="33">
        <v>7128</v>
      </c>
      <c r="H84" s="33">
        <v>7128</v>
      </c>
      <c r="I84" s="33">
        <v>7128</v>
      </c>
      <c r="J84" s="33">
        <v>7128</v>
      </c>
      <c r="K84" s="33">
        <v>8111</v>
      </c>
      <c r="L84" s="33">
        <v>8111</v>
      </c>
      <c r="M84" s="33">
        <v>8111</v>
      </c>
      <c r="N84" s="33">
        <v>8912</v>
      </c>
      <c r="O84" s="33">
        <v>8354</v>
      </c>
      <c r="P84" s="33">
        <v>8354</v>
      </c>
      <c r="Q84" s="33">
        <v>8354</v>
      </c>
      <c r="R84" s="33">
        <v>8354</v>
      </c>
      <c r="S84" s="33">
        <v>7227</v>
      </c>
      <c r="T84" s="33">
        <v>7227</v>
      </c>
      <c r="U84" s="33">
        <v>7227</v>
      </c>
      <c r="V84" s="33">
        <v>7227</v>
      </c>
      <c r="W84" s="33">
        <v>4474</v>
      </c>
      <c r="X84" s="33">
        <v>4474</v>
      </c>
      <c r="Y84" s="33">
        <v>4474</v>
      </c>
      <c r="Z84" s="33">
        <v>4474</v>
      </c>
      <c r="AA84" s="33">
        <v>5315</v>
      </c>
      <c r="AB84" s="33">
        <v>5315</v>
      </c>
      <c r="AC84" s="33">
        <v>5315</v>
      </c>
      <c r="AD84" s="33">
        <v>5315</v>
      </c>
      <c r="AE84" s="33">
        <v>5567</v>
      </c>
      <c r="AF84" s="33">
        <v>5632</v>
      </c>
      <c r="AG84" s="33">
        <v>5711</v>
      </c>
      <c r="AH84" s="33">
        <v>5784</v>
      </c>
      <c r="AI84" s="33">
        <v>5841</v>
      </c>
      <c r="AJ84" s="33">
        <v>5870</v>
      </c>
      <c r="AL84" s="33">
        <f t="shared" si="7"/>
        <v>7128</v>
      </c>
      <c r="AM84" s="33">
        <f t="shared" si="8"/>
        <v>8111</v>
      </c>
      <c r="AN84" s="33">
        <f t="shared" si="9"/>
        <v>8354</v>
      </c>
      <c r="AO84" s="33">
        <f t="shared" si="106"/>
        <v>7227</v>
      </c>
      <c r="AP84" s="33">
        <f t="shared" si="159"/>
        <v>4474</v>
      </c>
      <c r="AQ84" s="33">
        <f t="shared" si="161"/>
        <v>5315</v>
      </c>
      <c r="AR84" s="33">
        <f t="shared" si="160"/>
        <v>5567</v>
      </c>
      <c r="AS84" s="33">
        <f t="shared" si="156"/>
        <v>5841</v>
      </c>
      <c r="AT84" s="33">
        <f t="shared" si="156"/>
        <v>5870</v>
      </c>
      <c r="AU84" s="149"/>
      <c r="AZ84" s="146"/>
    </row>
    <row r="85" spans="2:54" ht="12" customHeight="1" x14ac:dyDescent="0.2">
      <c r="B85" s="31"/>
      <c r="C85" s="32" t="s">
        <v>109</v>
      </c>
      <c r="D85" s="33">
        <v>1201</v>
      </c>
      <c r="E85" s="33">
        <v>1214</v>
      </c>
      <c r="F85" s="33">
        <v>1214</v>
      </c>
      <c r="G85" s="33">
        <v>978</v>
      </c>
      <c r="H85" s="33">
        <v>979</v>
      </c>
      <c r="I85" s="33">
        <v>996</v>
      </c>
      <c r="J85" s="33">
        <v>996</v>
      </c>
      <c r="K85" s="33">
        <v>993</v>
      </c>
      <c r="L85" s="33">
        <v>993</v>
      </c>
      <c r="M85" s="33">
        <v>993</v>
      </c>
      <c r="N85" s="33">
        <v>993</v>
      </c>
      <c r="O85" s="33">
        <v>997</v>
      </c>
      <c r="P85" s="33">
        <v>997</v>
      </c>
      <c r="Q85" s="33">
        <v>997</v>
      </c>
      <c r="R85" s="33">
        <v>943</v>
      </c>
      <c r="S85" s="33">
        <v>702</v>
      </c>
      <c r="T85" s="33">
        <v>439</v>
      </c>
      <c r="U85" s="33">
        <v>439</v>
      </c>
      <c r="V85" s="33">
        <v>439</v>
      </c>
      <c r="W85" s="33">
        <v>1291</v>
      </c>
      <c r="X85" s="33">
        <v>1291</v>
      </c>
      <c r="Y85" s="33">
        <v>1291</v>
      </c>
      <c r="Z85" s="33">
        <v>1291</v>
      </c>
      <c r="AA85" s="33">
        <v>1204</v>
      </c>
      <c r="AB85" s="33">
        <v>1204</v>
      </c>
      <c r="AC85" s="33">
        <v>3204</v>
      </c>
      <c r="AD85" s="33">
        <v>6204</v>
      </c>
      <c r="AE85" s="33">
        <v>1567</v>
      </c>
      <c r="AF85" s="33">
        <v>1595</v>
      </c>
      <c r="AG85" s="33">
        <v>1597</v>
      </c>
      <c r="AH85" s="33">
        <v>1605</v>
      </c>
      <c r="AI85" s="33">
        <v>1841</v>
      </c>
      <c r="AJ85" s="33">
        <v>1919</v>
      </c>
      <c r="AL85" s="33">
        <f t="shared" ref="AL85:AL105" si="162">G85</f>
        <v>978</v>
      </c>
      <c r="AM85" s="33">
        <f t="shared" ref="AM85:AM105" si="163">K85</f>
        <v>993</v>
      </c>
      <c r="AN85" s="33">
        <f t="shared" ref="AN85:AN106" si="164">O85</f>
        <v>997</v>
      </c>
      <c r="AO85" s="33">
        <f t="shared" si="106"/>
        <v>702</v>
      </c>
      <c r="AP85" s="33">
        <f t="shared" si="159"/>
        <v>1291</v>
      </c>
      <c r="AQ85" s="33">
        <f t="shared" si="161"/>
        <v>1204</v>
      </c>
      <c r="AR85" s="33">
        <f t="shared" si="160"/>
        <v>1567</v>
      </c>
      <c r="AS85" s="33">
        <f t="shared" si="156"/>
        <v>1841</v>
      </c>
      <c r="AT85" s="33">
        <f t="shared" si="156"/>
        <v>1919</v>
      </c>
      <c r="AU85" s="149"/>
      <c r="AZ85" s="146"/>
    </row>
    <row r="86" spans="2:54" ht="12" customHeight="1" x14ac:dyDescent="0.2">
      <c r="B86" s="219" t="s">
        <v>110</v>
      </c>
      <c r="C86" s="220"/>
      <c r="D86" s="39">
        <f t="shared" ref="D86:F86" si="165">SUM(D87,D90,D93:D99,D102:D105)</f>
        <v>289073</v>
      </c>
      <c r="E86" s="39">
        <f t="shared" si="165"/>
        <v>322454</v>
      </c>
      <c r="F86" s="39">
        <f t="shared" si="165"/>
        <v>303895</v>
      </c>
      <c r="G86" s="39">
        <f>SUM(G87,G90,G93:G99,G102:G105)</f>
        <v>307437</v>
      </c>
      <c r="H86" s="39">
        <f t="shared" ref="H86:N86" si="166">SUM(H87,H90,H93:H99,H102:H105)</f>
        <v>316973</v>
      </c>
      <c r="I86" s="39">
        <f t="shared" si="166"/>
        <v>311654</v>
      </c>
      <c r="J86" s="39">
        <f t="shared" si="166"/>
        <v>307115</v>
      </c>
      <c r="K86" s="39">
        <f t="shared" si="166"/>
        <v>337350</v>
      </c>
      <c r="L86" s="39">
        <f t="shared" si="166"/>
        <v>343022.00499999995</v>
      </c>
      <c r="M86" s="39">
        <f t="shared" si="166"/>
        <v>340606</v>
      </c>
      <c r="N86" s="39">
        <f t="shared" si="166"/>
        <v>354630</v>
      </c>
      <c r="O86" s="39">
        <f t="shared" ref="O86:P86" si="167">SUM(O87,O90,O93:O99,O102:O105)</f>
        <v>310919</v>
      </c>
      <c r="P86" s="39">
        <f t="shared" si="167"/>
        <v>342111</v>
      </c>
      <c r="Q86" s="39">
        <f t="shared" ref="Q86:R86" si="168">SUM(Q87,Q90,Q93:Q99,Q102:Q105)</f>
        <v>363562</v>
      </c>
      <c r="R86" s="39">
        <f t="shared" si="168"/>
        <v>377653</v>
      </c>
      <c r="S86" s="39">
        <f t="shared" ref="S86:T86" si="169">SUM(S87,S90,S93:S99,S102:S105)</f>
        <v>376484</v>
      </c>
      <c r="T86" s="39">
        <f t="shared" si="169"/>
        <v>437925</v>
      </c>
      <c r="U86" s="39">
        <f t="shared" ref="U86:V86" si="170">SUM(U87,U90,U93:U99,U102:U105)</f>
        <v>445007</v>
      </c>
      <c r="V86" s="39">
        <f t="shared" si="170"/>
        <v>448496</v>
      </c>
      <c r="W86" s="39">
        <f t="shared" ref="W86:X86" si="171">SUM(W87,W90,W93:W99,W102:W105)</f>
        <v>457725</v>
      </c>
      <c r="X86" s="39">
        <f t="shared" si="171"/>
        <v>431279</v>
      </c>
      <c r="Y86" s="39">
        <f t="shared" ref="Y86:Z86" si="172">SUM(Y87,Y90,Y93:Y99,Y102:Y105)</f>
        <v>423733</v>
      </c>
      <c r="Z86" s="39">
        <f t="shared" si="172"/>
        <v>424877</v>
      </c>
      <c r="AA86" s="39">
        <f t="shared" ref="AA86:AB86" si="173">SUM(AA87,AA90,AA93:AA99,AA102:AA105)</f>
        <v>356069</v>
      </c>
      <c r="AB86" s="39">
        <f t="shared" si="173"/>
        <v>355093</v>
      </c>
      <c r="AC86" s="39">
        <f t="shared" ref="AC86:AD86" si="174">SUM(AC87,AC90,AC93:AC99,AC102:AC105)</f>
        <v>331549</v>
      </c>
      <c r="AD86" s="39">
        <f t="shared" si="174"/>
        <v>316086</v>
      </c>
      <c r="AE86" s="39">
        <f t="shared" ref="AE86:AJ86" si="175">SUM(AE87,AE90,AE93,AE96:AE99,AE102:AE105)</f>
        <v>309581</v>
      </c>
      <c r="AF86" s="39">
        <f t="shared" si="175"/>
        <v>320442</v>
      </c>
      <c r="AG86" s="39">
        <f t="shared" si="175"/>
        <v>336776</v>
      </c>
      <c r="AH86" s="39">
        <f t="shared" si="175"/>
        <v>336088</v>
      </c>
      <c r="AI86" s="39">
        <f t="shared" si="175"/>
        <v>325053</v>
      </c>
      <c r="AJ86" s="39">
        <f t="shared" si="175"/>
        <v>341955</v>
      </c>
      <c r="AL86" s="39">
        <f t="shared" si="162"/>
        <v>307437</v>
      </c>
      <c r="AM86" s="39">
        <f t="shared" si="163"/>
        <v>337350</v>
      </c>
      <c r="AN86" s="39">
        <f t="shared" si="164"/>
        <v>310919</v>
      </c>
      <c r="AO86" s="39">
        <f t="shared" si="106"/>
        <v>376484</v>
      </c>
      <c r="AP86" s="39">
        <f t="shared" si="159"/>
        <v>457725</v>
      </c>
      <c r="AQ86" s="39">
        <f t="shared" si="161"/>
        <v>356069</v>
      </c>
      <c r="AR86" s="39">
        <f t="shared" si="160"/>
        <v>309581</v>
      </c>
      <c r="AS86" s="39">
        <f t="shared" si="156"/>
        <v>325053</v>
      </c>
      <c r="AT86" s="39">
        <f t="shared" si="156"/>
        <v>341955</v>
      </c>
      <c r="AU86" s="149"/>
      <c r="AZ86" s="146"/>
    </row>
    <row r="87" spans="2:54" s="38" customFormat="1" ht="12" customHeight="1" x14ac:dyDescent="0.2">
      <c r="B87" s="40"/>
      <c r="C87" s="41" t="s">
        <v>111</v>
      </c>
      <c r="D87" s="42">
        <f t="shared" ref="D87:F87" si="176">SUM(D88:D89)</f>
        <v>113153</v>
      </c>
      <c r="E87" s="42">
        <f t="shared" si="176"/>
        <v>142457</v>
      </c>
      <c r="F87" s="42">
        <f t="shared" si="176"/>
        <v>138881</v>
      </c>
      <c r="G87" s="42">
        <f>SUM(G88:G89)</f>
        <v>139286</v>
      </c>
      <c r="H87" s="42">
        <f t="shared" ref="H87:N87" si="177">SUM(H88:H89)</f>
        <v>148374</v>
      </c>
      <c r="I87" s="42">
        <f t="shared" si="177"/>
        <v>144928</v>
      </c>
      <c r="J87" s="42">
        <f t="shared" si="177"/>
        <v>136981</v>
      </c>
      <c r="K87" s="42">
        <f t="shared" si="177"/>
        <v>139261</v>
      </c>
      <c r="L87" s="42">
        <f t="shared" si="177"/>
        <v>127029</v>
      </c>
      <c r="M87" s="42">
        <f t="shared" si="177"/>
        <v>131896</v>
      </c>
      <c r="N87" s="42">
        <f t="shared" si="177"/>
        <v>147992</v>
      </c>
      <c r="O87" s="42">
        <f t="shared" ref="O87:P87" si="178">SUM(O88:O89)</f>
        <v>125218</v>
      </c>
      <c r="P87" s="42">
        <f t="shared" si="178"/>
        <v>129163</v>
      </c>
      <c r="Q87" s="42">
        <f t="shared" ref="Q87:R87" si="179">SUM(Q88:Q89)</f>
        <v>135826</v>
      </c>
      <c r="R87" s="42">
        <f t="shared" si="179"/>
        <v>173411</v>
      </c>
      <c r="S87" s="42">
        <f t="shared" ref="S87:T87" si="180">SUM(S88:S89)</f>
        <v>175448</v>
      </c>
      <c r="T87" s="42">
        <f t="shared" si="180"/>
        <v>208545</v>
      </c>
      <c r="U87" s="42">
        <f t="shared" ref="U87:V87" si="181">SUM(U88:U89)</f>
        <v>225126</v>
      </c>
      <c r="V87" s="42">
        <f t="shared" si="181"/>
        <v>235541</v>
      </c>
      <c r="W87" s="42">
        <f t="shared" ref="W87:X87" si="182">SUM(W88:W89)</f>
        <v>237350</v>
      </c>
      <c r="X87" s="42">
        <f t="shared" si="182"/>
        <v>197358</v>
      </c>
      <c r="Y87" s="42">
        <f t="shared" ref="Y87:Z87" si="183">SUM(Y88:Y89)</f>
        <v>209278</v>
      </c>
      <c r="Z87" s="42">
        <f t="shared" si="183"/>
        <v>224773</v>
      </c>
      <c r="AA87" s="42">
        <f t="shared" ref="AA87:AB87" si="184">SUM(AA88:AA89)</f>
        <v>162511</v>
      </c>
      <c r="AB87" s="42">
        <f t="shared" si="184"/>
        <v>150247</v>
      </c>
      <c r="AC87" s="42">
        <f t="shared" ref="AC87:AD87" si="185">SUM(AC88:AC89)</f>
        <v>94886</v>
      </c>
      <c r="AD87" s="42">
        <f t="shared" si="185"/>
        <v>102546</v>
      </c>
      <c r="AE87" s="42">
        <f t="shared" ref="AE87:AF87" si="186">SUM(AE88:AE89)</f>
        <v>90226</v>
      </c>
      <c r="AF87" s="42">
        <f t="shared" si="186"/>
        <v>78305</v>
      </c>
      <c r="AG87" s="42">
        <f t="shared" ref="AG87:AH87" si="187">SUM(AG88:AG89)</f>
        <v>92518</v>
      </c>
      <c r="AH87" s="42">
        <f t="shared" si="187"/>
        <v>104514</v>
      </c>
      <c r="AI87" s="42">
        <f t="shared" ref="AI87:AJ87" si="188">SUM(AI88:AI89)</f>
        <v>78942</v>
      </c>
      <c r="AJ87" s="42">
        <f t="shared" si="188"/>
        <v>77684</v>
      </c>
      <c r="AL87" s="42">
        <f t="shared" si="162"/>
        <v>139286</v>
      </c>
      <c r="AM87" s="42">
        <f t="shared" si="163"/>
        <v>139261</v>
      </c>
      <c r="AN87" s="42">
        <f t="shared" si="164"/>
        <v>125218</v>
      </c>
      <c r="AO87" s="42">
        <f t="shared" si="106"/>
        <v>175448</v>
      </c>
      <c r="AP87" s="42">
        <f t="shared" si="159"/>
        <v>237350</v>
      </c>
      <c r="AQ87" s="42">
        <f t="shared" si="161"/>
        <v>162511</v>
      </c>
      <c r="AR87" s="42">
        <f t="shared" si="160"/>
        <v>90226</v>
      </c>
      <c r="AS87" s="42">
        <f t="shared" si="156"/>
        <v>78942</v>
      </c>
      <c r="AT87" s="42">
        <f t="shared" si="156"/>
        <v>77684</v>
      </c>
      <c r="AU87" s="149"/>
      <c r="AV87" s="146"/>
      <c r="AW87" s="29"/>
      <c r="AX87" s="148"/>
      <c r="AY87" s="146"/>
      <c r="AZ87" s="146"/>
      <c r="BA87" s="29"/>
      <c r="BB87" s="29"/>
    </row>
    <row r="88" spans="2:54" ht="12" customHeight="1" x14ac:dyDescent="0.2">
      <c r="B88" s="34"/>
      <c r="C88" s="35" t="s">
        <v>55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6">
        <v>0</v>
      </c>
      <c r="AG88" s="36">
        <v>0</v>
      </c>
      <c r="AH88" s="36">
        <v>0</v>
      </c>
      <c r="AI88" s="36">
        <v>0</v>
      </c>
      <c r="AJ88" s="36">
        <v>0</v>
      </c>
      <c r="AL88" s="36">
        <f t="shared" si="162"/>
        <v>0</v>
      </c>
      <c r="AM88" s="36">
        <f t="shared" si="163"/>
        <v>0</v>
      </c>
      <c r="AN88" s="36">
        <f t="shared" si="164"/>
        <v>0</v>
      </c>
      <c r="AO88" s="36">
        <f t="shared" si="106"/>
        <v>0</v>
      </c>
      <c r="AP88" s="36">
        <f t="shared" si="159"/>
        <v>0</v>
      </c>
      <c r="AQ88" s="36">
        <f t="shared" si="161"/>
        <v>0</v>
      </c>
      <c r="AR88" s="36">
        <f t="shared" si="160"/>
        <v>0</v>
      </c>
      <c r="AS88" s="36">
        <f t="shared" si="156"/>
        <v>0</v>
      </c>
      <c r="AT88" s="36">
        <f t="shared" si="156"/>
        <v>0</v>
      </c>
      <c r="AU88" s="149"/>
      <c r="AX88" s="148"/>
      <c r="AZ88" s="146"/>
    </row>
    <row r="89" spans="2:54" ht="12" customHeight="1" x14ac:dyDescent="0.2">
      <c r="B89" s="34"/>
      <c r="C89" s="35" t="s">
        <v>56</v>
      </c>
      <c r="D89" s="36">
        <v>113153</v>
      </c>
      <c r="E89" s="36">
        <v>142457</v>
      </c>
      <c r="F89" s="36">
        <v>138881</v>
      </c>
      <c r="G89" s="36">
        <v>139286</v>
      </c>
      <c r="H89" s="36">
        <v>148374</v>
      </c>
      <c r="I89" s="36">
        <v>144928</v>
      </c>
      <c r="J89" s="36">
        <v>136981</v>
      </c>
      <c r="K89" s="36">
        <v>139261</v>
      </c>
      <c r="L89" s="36">
        <v>127029</v>
      </c>
      <c r="M89" s="36">
        <v>131896</v>
      </c>
      <c r="N89" s="36">
        <v>147992</v>
      </c>
      <c r="O89" s="36">
        <v>125218</v>
      </c>
      <c r="P89" s="36">
        <v>129163</v>
      </c>
      <c r="Q89" s="36">
        <v>135826</v>
      </c>
      <c r="R89" s="36">
        <v>173411</v>
      </c>
      <c r="S89" s="36">
        <v>175448</v>
      </c>
      <c r="T89" s="36">
        <v>208545</v>
      </c>
      <c r="U89" s="36">
        <v>225126</v>
      </c>
      <c r="V89" s="36">
        <v>235541</v>
      </c>
      <c r="W89" s="36">
        <v>237350</v>
      </c>
      <c r="X89" s="36">
        <v>197358</v>
      </c>
      <c r="Y89" s="36">
        <v>209278</v>
      </c>
      <c r="Z89" s="36">
        <v>224773</v>
      </c>
      <c r="AA89" s="36">
        <v>162511</v>
      </c>
      <c r="AB89" s="36">
        <v>150247</v>
      </c>
      <c r="AC89" s="36">
        <v>94886</v>
      </c>
      <c r="AD89" s="36">
        <v>102546</v>
      </c>
      <c r="AE89" s="36">
        <v>90226</v>
      </c>
      <c r="AF89" s="36">
        <v>78305</v>
      </c>
      <c r="AG89" s="36">
        <v>92518</v>
      </c>
      <c r="AH89" s="36">
        <v>104514</v>
      </c>
      <c r="AI89" s="36">
        <v>78942</v>
      </c>
      <c r="AJ89" s="36">
        <v>77684</v>
      </c>
      <c r="AL89" s="36">
        <f t="shared" si="162"/>
        <v>139286</v>
      </c>
      <c r="AM89" s="36">
        <f t="shared" si="163"/>
        <v>139261</v>
      </c>
      <c r="AN89" s="36">
        <f t="shared" si="164"/>
        <v>125218</v>
      </c>
      <c r="AO89" s="36">
        <f t="shared" si="106"/>
        <v>175448</v>
      </c>
      <c r="AP89" s="36">
        <f t="shared" si="159"/>
        <v>237350</v>
      </c>
      <c r="AQ89" s="36">
        <f t="shared" si="161"/>
        <v>162511</v>
      </c>
      <c r="AR89" s="36">
        <f t="shared" si="160"/>
        <v>90226</v>
      </c>
      <c r="AS89" s="36">
        <f t="shared" si="156"/>
        <v>78942</v>
      </c>
      <c r="AT89" s="36">
        <f t="shared" si="156"/>
        <v>77684</v>
      </c>
      <c r="AU89" s="149"/>
      <c r="AV89" s="38"/>
      <c r="AX89" s="148"/>
      <c r="AZ89" s="146"/>
    </row>
    <row r="90" spans="2:54" s="38" customFormat="1" ht="12" customHeight="1" x14ac:dyDescent="0.2">
      <c r="B90" s="40"/>
      <c r="C90" s="41" t="s">
        <v>112</v>
      </c>
      <c r="D90" s="42">
        <f t="shared" ref="D90:F90" si="189">SUM(D91:D92)</f>
        <v>81494</v>
      </c>
      <c r="E90" s="42">
        <f t="shared" si="189"/>
        <v>97305</v>
      </c>
      <c r="F90" s="42">
        <f t="shared" si="189"/>
        <v>88409</v>
      </c>
      <c r="G90" s="42">
        <f>SUM(G91:G92)</f>
        <v>86607</v>
      </c>
      <c r="H90" s="42">
        <f t="shared" ref="H90:R90" si="190">SUM(H91:H92)</f>
        <v>87347</v>
      </c>
      <c r="I90" s="42">
        <f t="shared" si="190"/>
        <v>82605</v>
      </c>
      <c r="J90" s="42">
        <f t="shared" si="190"/>
        <v>86038</v>
      </c>
      <c r="K90" s="42">
        <f t="shared" si="190"/>
        <v>86654</v>
      </c>
      <c r="L90" s="42">
        <f t="shared" si="190"/>
        <v>99557</v>
      </c>
      <c r="M90" s="42">
        <f t="shared" si="190"/>
        <v>90432</v>
      </c>
      <c r="N90" s="42">
        <f t="shared" si="190"/>
        <v>92607</v>
      </c>
      <c r="O90" s="42">
        <f t="shared" si="190"/>
        <v>74006</v>
      </c>
      <c r="P90" s="42">
        <f t="shared" si="190"/>
        <v>98465</v>
      </c>
      <c r="Q90" s="42">
        <f t="shared" si="190"/>
        <v>100654</v>
      </c>
      <c r="R90" s="42">
        <f t="shared" si="190"/>
        <v>96937</v>
      </c>
      <c r="S90" s="42">
        <f t="shared" ref="S90:V90" si="191">SUM(S91:S92)</f>
        <v>95974</v>
      </c>
      <c r="T90" s="42">
        <f t="shared" si="191"/>
        <v>117301</v>
      </c>
      <c r="U90" s="42">
        <f t="shared" si="191"/>
        <v>107485</v>
      </c>
      <c r="V90" s="42">
        <f t="shared" si="191"/>
        <v>117771</v>
      </c>
      <c r="W90" s="42">
        <f t="shared" ref="W90:AD90" si="192">SUM(W91:W92)</f>
        <v>121894</v>
      </c>
      <c r="X90" s="42">
        <f t="shared" si="192"/>
        <v>130995</v>
      </c>
      <c r="Y90" s="42">
        <f t="shared" si="192"/>
        <v>108228</v>
      </c>
      <c r="Z90" s="42">
        <f t="shared" si="192"/>
        <v>101846</v>
      </c>
      <c r="AA90" s="42">
        <f t="shared" si="192"/>
        <v>93591</v>
      </c>
      <c r="AB90" s="42">
        <f t="shared" si="192"/>
        <v>99212</v>
      </c>
      <c r="AC90" s="42">
        <f t="shared" si="192"/>
        <v>125441</v>
      </c>
      <c r="AD90" s="42">
        <f t="shared" si="192"/>
        <v>108185</v>
      </c>
      <c r="AE90" s="42">
        <f t="shared" ref="AE90:AI90" si="193">SUM(AE91:AE92)</f>
        <v>101768</v>
      </c>
      <c r="AF90" s="42">
        <f t="shared" si="193"/>
        <v>107246</v>
      </c>
      <c r="AG90" s="42">
        <f t="shared" si="193"/>
        <v>106603</v>
      </c>
      <c r="AH90" s="42">
        <f t="shared" si="193"/>
        <v>117903</v>
      </c>
      <c r="AI90" s="42">
        <f t="shared" si="193"/>
        <v>105080</v>
      </c>
      <c r="AJ90" s="42">
        <f t="shared" ref="AJ90" si="194">SUM(AJ91:AJ92)</f>
        <v>122968</v>
      </c>
      <c r="AL90" s="42">
        <f t="shared" si="162"/>
        <v>86607</v>
      </c>
      <c r="AM90" s="42">
        <f t="shared" si="163"/>
        <v>86654</v>
      </c>
      <c r="AN90" s="42">
        <f t="shared" si="164"/>
        <v>74006</v>
      </c>
      <c r="AO90" s="42">
        <f t="shared" si="106"/>
        <v>95974</v>
      </c>
      <c r="AP90" s="42">
        <f t="shared" si="159"/>
        <v>121894</v>
      </c>
      <c r="AQ90" s="42">
        <f t="shared" si="161"/>
        <v>93591</v>
      </c>
      <c r="AR90" s="42">
        <f t="shared" si="160"/>
        <v>101768</v>
      </c>
      <c r="AS90" s="42">
        <f t="shared" si="156"/>
        <v>105080</v>
      </c>
      <c r="AT90" s="42">
        <f t="shared" si="156"/>
        <v>122968</v>
      </c>
      <c r="AU90" s="149"/>
      <c r="AV90" s="29"/>
      <c r="AX90" s="148"/>
      <c r="AY90" s="146"/>
      <c r="AZ90" s="146"/>
      <c r="BA90" s="29"/>
      <c r="BB90" s="29"/>
    </row>
    <row r="91" spans="2:54" ht="12" customHeight="1" x14ac:dyDescent="0.2">
      <c r="B91" s="34"/>
      <c r="C91" s="35" t="s">
        <v>103</v>
      </c>
      <c r="D91" s="36">
        <v>43</v>
      </c>
      <c r="E91" s="36">
        <v>278</v>
      </c>
      <c r="F91" s="36">
        <v>655</v>
      </c>
      <c r="G91" s="36">
        <v>278</v>
      </c>
      <c r="H91" s="36">
        <v>430</v>
      </c>
      <c r="I91" s="36">
        <v>918</v>
      </c>
      <c r="J91" s="36">
        <v>920</v>
      </c>
      <c r="K91" s="36">
        <v>1030</v>
      </c>
      <c r="L91" s="36">
        <v>1177</v>
      </c>
      <c r="M91" s="36">
        <v>452</v>
      </c>
      <c r="N91" s="36">
        <v>223</v>
      </c>
      <c r="O91" s="36">
        <v>142</v>
      </c>
      <c r="P91" s="36">
        <v>607</v>
      </c>
      <c r="Q91" s="36">
        <v>568</v>
      </c>
      <c r="R91" s="36">
        <v>497</v>
      </c>
      <c r="S91" s="36">
        <v>611</v>
      </c>
      <c r="T91" s="36">
        <v>792</v>
      </c>
      <c r="U91" s="36">
        <v>1034</v>
      </c>
      <c r="V91" s="36">
        <v>1112</v>
      </c>
      <c r="W91" s="36">
        <v>1006</v>
      </c>
      <c r="X91" s="36">
        <v>783</v>
      </c>
      <c r="Y91" s="36">
        <v>313</v>
      </c>
      <c r="Z91" s="36">
        <v>314</v>
      </c>
      <c r="AA91" s="36">
        <v>351</v>
      </c>
      <c r="AB91" s="36">
        <v>744</v>
      </c>
      <c r="AC91" s="36">
        <v>668</v>
      </c>
      <c r="AD91" s="36">
        <v>1008</v>
      </c>
      <c r="AE91" s="36">
        <v>612</v>
      </c>
      <c r="AF91" s="36">
        <v>811</v>
      </c>
      <c r="AG91" s="36">
        <v>1292</v>
      </c>
      <c r="AH91" s="36">
        <v>679</v>
      </c>
      <c r="AI91" s="36">
        <v>1060</v>
      </c>
      <c r="AJ91" s="36">
        <v>1439</v>
      </c>
      <c r="AL91" s="36">
        <f t="shared" si="162"/>
        <v>278</v>
      </c>
      <c r="AM91" s="36">
        <f t="shared" si="163"/>
        <v>1030</v>
      </c>
      <c r="AN91" s="36">
        <f t="shared" si="164"/>
        <v>142</v>
      </c>
      <c r="AO91" s="36">
        <f t="shared" si="106"/>
        <v>611</v>
      </c>
      <c r="AP91" s="36">
        <f t="shared" si="159"/>
        <v>1006</v>
      </c>
      <c r="AQ91" s="36">
        <f t="shared" si="161"/>
        <v>351</v>
      </c>
      <c r="AR91" s="36">
        <f t="shared" si="160"/>
        <v>612</v>
      </c>
      <c r="AS91" s="36">
        <f t="shared" si="156"/>
        <v>1060</v>
      </c>
      <c r="AT91" s="36">
        <f t="shared" si="156"/>
        <v>1439</v>
      </c>
      <c r="AU91" s="149"/>
      <c r="AX91" s="148"/>
      <c r="AZ91" s="146"/>
    </row>
    <row r="92" spans="2:54" ht="12" customHeight="1" x14ac:dyDescent="0.2">
      <c r="B92" s="34"/>
      <c r="C92" s="35" t="s">
        <v>104</v>
      </c>
      <c r="D92" s="36">
        <v>81451</v>
      </c>
      <c r="E92" s="36">
        <v>97027</v>
      </c>
      <c r="F92" s="36">
        <v>87754</v>
      </c>
      <c r="G92" s="36">
        <v>86329</v>
      </c>
      <c r="H92" s="36">
        <v>86917</v>
      </c>
      <c r="I92" s="36">
        <v>81687</v>
      </c>
      <c r="J92" s="36">
        <v>85118</v>
      </c>
      <c r="K92" s="36">
        <v>85624</v>
      </c>
      <c r="L92" s="36">
        <v>98380</v>
      </c>
      <c r="M92" s="36">
        <v>89980</v>
      </c>
      <c r="N92" s="36">
        <v>92384</v>
      </c>
      <c r="O92" s="36">
        <v>73864</v>
      </c>
      <c r="P92" s="36">
        <v>97858</v>
      </c>
      <c r="Q92" s="36">
        <v>100086</v>
      </c>
      <c r="R92" s="36">
        <v>96440</v>
      </c>
      <c r="S92" s="36">
        <v>95363</v>
      </c>
      <c r="T92" s="36">
        <v>116509</v>
      </c>
      <c r="U92" s="36">
        <v>106451</v>
      </c>
      <c r="V92" s="36">
        <v>116659</v>
      </c>
      <c r="W92" s="36">
        <v>120888</v>
      </c>
      <c r="X92" s="36">
        <v>130212</v>
      </c>
      <c r="Y92" s="36">
        <v>107915</v>
      </c>
      <c r="Z92" s="36">
        <v>101532</v>
      </c>
      <c r="AA92" s="36">
        <v>93240</v>
      </c>
      <c r="AB92" s="36">
        <v>98468</v>
      </c>
      <c r="AC92" s="36">
        <v>124773</v>
      </c>
      <c r="AD92" s="36">
        <v>107177</v>
      </c>
      <c r="AE92" s="36">
        <v>101156</v>
      </c>
      <c r="AF92" s="36">
        <v>106435</v>
      </c>
      <c r="AG92" s="36">
        <v>105311</v>
      </c>
      <c r="AH92" s="36">
        <v>117224</v>
      </c>
      <c r="AI92" s="36">
        <v>104020</v>
      </c>
      <c r="AJ92" s="36">
        <v>121529</v>
      </c>
      <c r="AL92" s="36">
        <f t="shared" si="162"/>
        <v>86329</v>
      </c>
      <c r="AM92" s="36">
        <f t="shared" si="163"/>
        <v>85624</v>
      </c>
      <c r="AN92" s="36">
        <f t="shared" si="164"/>
        <v>73864</v>
      </c>
      <c r="AO92" s="36">
        <f t="shared" si="106"/>
        <v>95363</v>
      </c>
      <c r="AP92" s="36">
        <f t="shared" si="159"/>
        <v>120888</v>
      </c>
      <c r="AQ92" s="36">
        <f t="shared" si="161"/>
        <v>93240</v>
      </c>
      <c r="AR92" s="36">
        <f t="shared" si="160"/>
        <v>101156</v>
      </c>
      <c r="AS92" s="36">
        <f t="shared" si="156"/>
        <v>104020</v>
      </c>
      <c r="AT92" s="36">
        <f t="shared" si="156"/>
        <v>121529</v>
      </c>
      <c r="AU92" s="149"/>
      <c r="AV92" s="38"/>
      <c r="AX92" s="148"/>
      <c r="AZ92" s="146"/>
    </row>
    <row r="93" spans="2:54" ht="12" customHeight="1" x14ac:dyDescent="0.2">
      <c r="B93" s="34"/>
      <c r="C93" s="35" t="s">
        <v>105</v>
      </c>
      <c r="D93" s="36"/>
      <c r="E93" s="36"/>
      <c r="F93" s="36"/>
      <c r="G93" s="36">
        <v>2049</v>
      </c>
      <c r="H93" s="36">
        <v>4946</v>
      </c>
      <c r="I93" s="36">
        <v>4433</v>
      </c>
      <c r="J93" s="36">
        <v>513</v>
      </c>
      <c r="K93" s="36">
        <v>11773</v>
      </c>
      <c r="L93" s="36">
        <v>11506</v>
      </c>
      <c r="M93" s="36">
        <v>11317</v>
      </c>
      <c r="N93" s="36">
        <v>5599</v>
      </c>
      <c r="O93" s="36">
        <v>977</v>
      </c>
      <c r="P93" s="36">
        <v>977</v>
      </c>
      <c r="Q93" s="36">
        <v>977</v>
      </c>
      <c r="R93" s="36">
        <v>977</v>
      </c>
      <c r="S93" s="36">
        <v>976</v>
      </c>
      <c r="T93" s="36">
        <v>732</v>
      </c>
      <c r="U93" s="36">
        <v>488</v>
      </c>
      <c r="V93" s="36">
        <v>243</v>
      </c>
      <c r="W93" s="36">
        <v>0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/>
      <c r="AD93" s="36"/>
      <c r="AE93" s="36">
        <f t="shared" ref="AE93:AJ93" si="195">SUM(AE94:AE95)</f>
        <v>5940</v>
      </c>
      <c r="AF93" s="36">
        <f t="shared" si="195"/>
        <v>5953</v>
      </c>
      <c r="AG93" s="36">
        <f t="shared" si="195"/>
        <v>4052</v>
      </c>
      <c r="AH93" s="36">
        <f t="shared" si="195"/>
        <v>2902</v>
      </c>
      <c r="AI93" s="36">
        <f t="shared" si="195"/>
        <v>10468</v>
      </c>
      <c r="AJ93" s="36">
        <f t="shared" si="195"/>
        <v>6248</v>
      </c>
      <c r="AL93" s="36">
        <f t="shared" si="162"/>
        <v>2049</v>
      </c>
      <c r="AM93" s="36">
        <f t="shared" si="163"/>
        <v>11773</v>
      </c>
      <c r="AN93" s="36">
        <f t="shared" si="164"/>
        <v>977</v>
      </c>
      <c r="AO93" s="36">
        <f t="shared" si="106"/>
        <v>976</v>
      </c>
      <c r="AP93" s="36">
        <f t="shared" si="159"/>
        <v>0</v>
      </c>
      <c r="AQ93" s="36">
        <f t="shared" si="161"/>
        <v>0</v>
      </c>
      <c r="AR93" s="36">
        <f t="shared" si="160"/>
        <v>5940</v>
      </c>
      <c r="AS93" s="36">
        <f t="shared" si="156"/>
        <v>10468</v>
      </c>
      <c r="AT93" s="36">
        <f t="shared" si="156"/>
        <v>6248</v>
      </c>
      <c r="AU93" s="149"/>
      <c r="AW93" s="38"/>
      <c r="AX93" s="148"/>
      <c r="AZ93" s="146"/>
    </row>
    <row r="94" spans="2:54" ht="12" customHeight="1" x14ac:dyDescent="0.2">
      <c r="B94" s="34"/>
      <c r="C94" s="35" t="s">
        <v>103</v>
      </c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L94" s="36"/>
      <c r="AM94" s="36"/>
      <c r="AN94" s="36"/>
      <c r="AO94" s="36"/>
      <c r="AP94" s="36"/>
      <c r="AQ94" s="36"/>
      <c r="AR94" s="36">
        <f t="shared" ref="AR94:AR96" si="196">AE94</f>
        <v>0</v>
      </c>
      <c r="AS94" s="36">
        <f t="shared" si="156"/>
        <v>0</v>
      </c>
      <c r="AT94" s="36">
        <f t="shared" si="156"/>
        <v>0</v>
      </c>
      <c r="AX94" s="148"/>
      <c r="AZ94" s="146"/>
    </row>
    <row r="95" spans="2:54" ht="12" customHeight="1" x14ac:dyDescent="0.2">
      <c r="B95" s="34"/>
      <c r="C95" s="35" t="s">
        <v>104</v>
      </c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>
        <v>5940</v>
      </c>
      <c r="AF95" s="36">
        <v>5953</v>
      </c>
      <c r="AG95" s="36">
        <v>4052</v>
      </c>
      <c r="AH95" s="36">
        <v>2902</v>
      </c>
      <c r="AI95" s="36">
        <v>10468</v>
      </c>
      <c r="AJ95" s="36">
        <v>6248</v>
      </c>
      <c r="AL95" s="36"/>
      <c r="AM95" s="36"/>
      <c r="AN95" s="36"/>
      <c r="AO95" s="36"/>
      <c r="AP95" s="36"/>
      <c r="AQ95" s="36"/>
      <c r="AR95" s="36">
        <f t="shared" si="196"/>
        <v>5940</v>
      </c>
      <c r="AS95" s="36">
        <f t="shared" si="156"/>
        <v>10468</v>
      </c>
      <c r="AT95" s="36">
        <f t="shared" si="156"/>
        <v>6248</v>
      </c>
      <c r="AX95" s="148"/>
      <c r="AZ95" s="146"/>
    </row>
    <row r="96" spans="2:54" ht="12" customHeight="1" x14ac:dyDescent="0.2">
      <c r="B96" s="34"/>
      <c r="C96" s="35" t="s">
        <v>338</v>
      </c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>
        <v>2154</v>
      </c>
      <c r="AD96" s="36">
        <v>2061</v>
      </c>
      <c r="AE96" s="36"/>
      <c r="AF96" s="36"/>
      <c r="AG96" s="36"/>
      <c r="AH96" s="36"/>
      <c r="AI96" s="36"/>
      <c r="AJ96" s="36"/>
      <c r="AL96" s="36"/>
      <c r="AM96" s="36"/>
      <c r="AN96" s="36"/>
      <c r="AO96" s="36"/>
      <c r="AP96" s="36"/>
      <c r="AQ96" s="36"/>
      <c r="AR96" s="36">
        <f t="shared" si="196"/>
        <v>0</v>
      </c>
      <c r="AS96" s="36">
        <f t="shared" si="156"/>
        <v>0</v>
      </c>
      <c r="AT96" s="36">
        <f t="shared" si="156"/>
        <v>0</v>
      </c>
      <c r="AZ96" s="146"/>
    </row>
    <row r="97" spans="2:54" ht="12" customHeight="1" x14ac:dyDescent="0.2">
      <c r="B97" s="34"/>
      <c r="C97" s="32" t="s">
        <v>113</v>
      </c>
      <c r="D97" s="33">
        <v>1602</v>
      </c>
      <c r="E97" s="33">
        <v>2310</v>
      </c>
      <c r="F97" s="33">
        <v>2366</v>
      </c>
      <c r="G97" s="33">
        <v>2681</v>
      </c>
      <c r="H97" s="33">
        <v>1884</v>
      </c>
      <c r="I97" s="33">
        <v>1875</v>
      </c>
      <c r="J97" s="33">
        <v>2731</v>
      </c>
      <c r="K97" s="33">
        <v>3747</v>
      </c>
      <c r="L97" s="33">
        <v>4363</v>
      </c>
      <c r="M97" s="33">
        <v>6223</v>
      </c>
      <c r="N97" s="33">
        <v>5298</v>
      </c>
      <c r="O97" s="33">
        <v>5392</v>
      </c>
      <c r="P97" s="33">
        <v>10055</v>
      </c>
      <c r="Q97" s="33">
        <v>13312</v>
      </c>
      <c r="R97" s="33">
        <v>12843</v>
      </c>
      <c r="S97" s="33">
        <v>12589</v>
      </c>
      <c r="T97" s="33">
        <v>12142</v>
      </c>
      <c r="U97" s="33">
        <v>1409</v>
      </c>
      <c r="V97" s="33">
        <v>888</v>
      </c>
      <c r="W97" s="33">
        <v>1976</v>
      </c>
      <c r="X97" s="33">
        <v>1935</v>
      </c>
      <c r="Y97" s="33">
        <v>1778</v>
      </c>
      <c r="Z97" s="33">
        <v>2873</v>
      </c>
      <c r="AA97" s="33">
        <v>3241</v>
      </c>
      <c r="AB97" s="33">
        <v>1383</v>
      </c>
      <c r="AC97" s="33">
        <v>4034</v>
      </c>
      <c r="AD97" s="33">
        <v>5930</v>
      </c>
      <c r="AE97" s="33">
        <v>5427</v>
      </c>
      <c r="AF97" s="33">
        <v>2920</v>
      </c>
      <c r="AG97" s="33">
        <v>2052</v>
      </c>
      <c r="AH97" s="33">
        <v>1337</v>
      </c>
      <c r="AI97" s="33">
        <v>5864</v>
      </c>
      <c r="AJ97" s="33">
        <v>502</v>
      </c>
      <c r="AL97" s="33">
        <f t="shared" si="162"/>
        <v>2681</v>
      </c>
      <c r="AM97" s="33">
        <f t="shared" si="163"/>
        <v>3747</v>
      </c>
      <c r="AN97" s="33">
        <f t="shared" si="164"/>
        <v>5392</v>
      </c>
      <c r="AO97" s="33">
        <f t="shared" si="106"/>
        <v>12589</v>
      </c>
      <c r="AP97" s="33">
        <f t="shared" si="159"/>
        <v>1976</v>
      </c>
      <c r="AQ97" s="33">
        <f t="shared" si="161"/>
        <v>3241</v>
      </c>
      <c r="AR97" s="33">
        <f t="shared" ref="AR97:AR106" si="197">AE97</f>
        <v>5427</v>
      </c>
      <c r="AS97" s="33">
        <f t="shared" si="156"/>
        <v>5864</v>
      </c>
      <c r="AT97" s="33">
        <f t="shared" si="156"/>
        <v>502</v>
      </c>
      <c r="AX97" s="148"/>
      <c r="AZ97" s="146"/>
    </row>
    <row r="98" spans="2:54" ht="12" customHeight="1" x14ac:dyDescent="0.2">
      <c r="B98" s="31"/>
      <c r="C98" s="32" t="s">
        <v>114</v>
      </c>
      <c r="D98" s="33">
        <v>13238</v>
      </c>
      <c r="E98" s="33">
        <v>15253</v>
      </c>
      <c r="F98" s="33">
        <v>15506</v>
      </c>
      <c r="G98" s="33">
        <v>16079</v>
      </c>
      <c r="H98" s="33">
        <v>15960</v>
      </c>
      <c r="I98" s="33">
        <v>16392</v>
      </c>
      <c r="J98" s="33">
        <v>16209</v>
      </c>
      <c r="K98" s="33">
        <v>16924</v>
      </c>
      <c r="L98" s="33">
        <v>13409</v>
      </c>
      <c r="M98" s="33">
        <v>20744</v>
      </c>
      <c r="N98" s="33">
        <v>17146</v>
      </c>
      <c r="O98" s="33">
        <v>15910</v>
      </c>
      <c r="P98" s="33">
        <v>14175</v>
      </c>
      <c r="Q98" s="33">
        <v>15195</v>
      </c>
      <c r="R98" s="33">
        <v>14337</v>
      </c>
      <c r="S98" s="33">
        <v>14646</v>
      </c>
      <c r="T98" s="33">
        <v>17220</v>
      </c>
      <c r="U98" s="33">
        <v>21685</v>
      </c>
      <c r="V98" s="33">
        <v>16121</v>
      </c>
      <c r="W98" s="33">
        <v>17107</v>
      </c>
      <c r="X98" s="33">
        <v>19611</v>
      </c>
      <c r="Y98" s="33">
        <v>14520</v>
      </c>
      <c r="Z98" s="33">
        <v>21899</v>
      </c>
      <c r="AA98" s="33">
        <v>16957</v>
      </c>
      <c r="AB98" s="33">
        <v>22883</v>
      </c>
      <c r="AC98" s="33">
        <v>18097</v>
      </c>
      <c r="AD98" s="33">
        <v>18253</v>
      </c>
      <c r="AE98" s="33">
        <v>19722</v>
      </c>
      <c r="AF98" s="33">
        <v>21661</v>
      </c>
      <c r="AG98" s="33">
        <v>16431</v>
      </c>
      <c r="AH98" s="33">
        <v>19984</v>
      </c>
      <c r="AI98" s="33">
        <v>23204</v>
      </c>
      <c r="AJ98" s="33">
        <v>29018</v>
      </c>
      <c r="AL98" s="33">
        <f t="shared" si="162"/>
        <v>16079</v>
      </c>
      <c r="AM98" s="33">
        <f t="shared" si="163"/>
        <v>16924</v>
      </c>
      <c r="AN98" s="33">
        <f t="shared" si="164"/>
        <v>15910</v>
      </c>
      <c r="AO98" s="33">
        <f t="shared" si="106"/>
        <v>14646</v>
      </c>
      <c r="AP98" s="33">
        <f t="shared" si="159"/>
        <v>17107</v>
      </c>
      <c r="AQ98" s="33">
        <f t="shared" si="161"/>
        <v>16957</v>
      </c>
      <c r="AR98" s="33">
        <f t="shared" si="197"/>
        <v>19722</v>
      </c>
      <c r="AS98" s="33">
        <f t="shared" si="156"/>
        <v>23204</v>
      </c>
      <c r="AT98" s="33">
        <f t="shared" si="156"/>
        <v>29018</v>
      </c>
      <c r="AU98" s="149"/>
      <c r="AZ98" s="146"/>
    </row>
    <row r="99" spans="2:54" s="38" customFormat="1" ht="12" customHeight="1" x14ac:dyDescent="0.2">
      <c r="B99" s="40"/>
      <c r="C99" s="41" t="s">
        <v>115</v>
      </c>
      <c r="D99" s="42">
        <f t="shared" ref="D99:F99" si="198">D100+D101</f>
        <v>41173</v>
      </c>
      <c r="E99" s="42">
        <f t="shared" si="198"/>
        <v>38762</v>
      </c>
      <c r="F99" s="42">
        <f t="shared" si="198"/>
        <v>34903</v>
      </c>
      <c r="G99" s="42">
        <f>G100+G101</f>
        <v>32476</v>
      </c>
      <c r="H99" s="42">
        <f t="shared" ref="H99:R99" si="199">H100+H101</f>
        <v>28907</v>
      </c>
      <c r="I99" s="42">
        <f t="shared" si="199"/>
        <v>28157</v>
      </c>
      <c r="J99" s="42">
        <f t="shared" si="199"/>
        <v>27300</v>
      </c>
      <c r="K99" s="42">
        <f t="shared" si="199"/>
        <v>37619</v>
      </c>
      <c r="L99" s="42">
        <f t="shared" si="199"/>
        <v>44282.004999999939</v>
      </c>
      <c r="M99" s="42">
        <f t="shared" si="199"/>
        <v>36221</v>
      </c>
      <c r="N99" s="42">
        <f t="shared" si="199"/>
        <v>40782</v>
      </c>
      <c r="O99" s="42">
        <f t="shared" si="199"/>
        <v>46123</v>
      </c>
      <c r="P99" s="42">
        <f t="shared" si="199"/>
        <v>42751</v>
      </c>
      <c r="Q99" s="42">
        <f t="shared" si="199"/>
        <v>53399</v>
      </c>
      <c r="R99" s="42">
        <f t="shared" si="199"/>
        <v>39752</v>
      </c>
      <c r="S99" s="42">
        <f t="shared" ref="S99:V99" si="200">S100+S101</f>
        <v>38519</v>
      </c>
      <c r="T99" s="42">
        <f t="shared" si="200"/>
        <v>41419</v>
      </c>
      <c r="U99" s="42">
        <f t="shared" si="200"/>
        <v>53353</v>
      </c>
      <c r="V99" s="42">
        <f t="shared" si="200"/>
        <v>41358</v>
      </c>
      <c r="W99" s="42">
        <f t="shared" ref="W99:AD99" si="201">W100+W101</f>
        <v>41978</v>
      </c>
      <c r="X99" s="42">
        <f t="shared" si="201"/>
        <v>39529</v>
      </c>
      <c r="Y99" s="42">
        <f t="shared" si="201"/>
        <v>47917</v>
      </c>
      <c r="Z99" s="42">
        <f t="shared" si="201"/>
        <v>33038</v>
      </c>
      <c r="AA99" s="42">
        <f t="shared" si="201"/>
        <v>34791</v>
      </c>
      <c r="AB99" s="42">
        <f t="shared" si="201"/>
        <v>35238</v>
      </c>
      <c r="AC99" s="42">
        <f t="shared" si="201"/>
        <v>35526</v>
      </c>
      <c r="AD99" s="42">
        <f t="shared" si="201"/>
        <v>28715</v>
      </c>
      <c r="AE99" s="42">
        <f t="shared" ref="AE99:AI99" si="202">AE100+AE101</f>
        <v>16853</v>
      </c>
      <c r="AF99" s="42">
        <f t="shared" si="202"/>
        <v>33207</v>
      </c>
      <c r="AG99" s="42">
        <f t="shared" si="202"/>
        <v>52082</v>
      </c>
      <c r="AH99" s="42">
        <f t="shared" si="202"/>
        <v>20618</v>
      </c>
      <c r="AI99" s="42">
        <f t="shared" si="202"/>
        <v>25663</v>
      </c>
      <c r="AJ99" s="42">
        <f t="shared" ref="AJ99" si="203">AJ100+AJ101</f>
        <v>26754</v>
      </c>
      <c r="AL99" s="42">
        <f t="shared" si="162"/>
        <v>32476</v>
      </c>
      <c r="AM99" s="42">
        <f t="shared" si="163"/>
        <v>37619</v>
      </c>
      <c r="AN99" s="42">
        <f t="shared" si="164"/>
        <v>46123</v>
      </c>
      <c r="AO99" s="42">
        <f t="shared" si="106"/>
        <v>38519</v>
      </c>
      <c r="AP99" s="42">
        <f t="shared" si="159"/>
        <v>41978</v>
      </c>
      <c r="AQ99" s="42">
        <f t="shared" si="161"/>
        <v>34791</v>
      </c>
      <c r="AR99" s="42">
        <f t="shared" si="197"/>
        <v>16853</v>
      </c>
      <c r="AS99" s="42">
        <f t="shared" si="156"/>
        <v>25663</v>
      </c>
      <c r="AT99" s="42">
        <f t="shared" si="156"/>
        <v>26754</v>
      </c>
      <c r="AU99" s="149"/>
      <c r="AV99" s="29"/>
      <c r="AW99" s="29"/>
      <c r="AX99" s="148"/>
      <c r="AY99" s="146"/>
      <c r="AZ99" s="146"/>
      <c r="BA99" s="29"/>
      <c r="BB99" s="29"/>
    </row>
    <row r="100" spans="2:54" ht="12" customHeight="1" x14ac:dyDescent="0.2">
      <c r="B100" s="34"/>
      <c r="C100" s="35" t="s">
        <v>103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4.9999999391729943E-3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/>
      <c r="AE100" s="36">
        <v>0</v>
      </c>
      <c r="AF100" s="36">
        <v>0</v>
      </c>
      <c r="AG100" s="36">
        <v>0</v>
      </c>
      <c r="AH100" s="36">
        <v>0</v>
      </c>
      <c r="AI100" s="36">
        <v>0</v>
      </c>
      <c r="AJ100" s="36">
        <v>0</v>
      </c>
      <c r="AL100" s="36">
        <f t="shared" si="162"/>
        <v>0</v>
      </c>
      <c r="AM100" s="36">
        <f t="shared" si="163"/>
        <v>0</v>
      </c>
      <c r="AN100" s="36">
        <f t="shared" si="164"/>
        <v>0</v>
      </c>
      <c r="AO100" s="36">
        <f t="shared" si="106"/>
        <v>0</v>
      </c>
      <c r="AP100" s="36">
        <f t="shared" si="159"/>
        <v>0</v>
      </c>
      <c r="AQ100" s="36">
        <f t="shared" si="161"/>
        <v>0</v>
      </c>
      <c r="AR100" s="36">
        <f t="shared" si="197"/>
        <v>0</v>
      </c>
      <c r="AS100" s="36">
        <f t="shared" si="156"/>
        <v>0</v>
      </c>
      <c r="AT100" s="36">
        <f t="shared" si="156"/>
        <v>0</v>
      </c>
      <c r="AU100" s="149"/>
      <c r="AZ100" s="146"/>
    </row>
    <row r="101" spans="2:54" ht="12" customHeight="1" x14ac:dyDescent="0.2">
      <c r="B101" s="34"/>
      <c r="C101" s="35" t="s">
        <v>104</v>
      </c>
      <c r="D101" s="36">
        <v>41173</v>
      </c>
      <c r="E101" s="36">
        <v>38762</v>
      </c>
      <c r="F101" s="36">
        <v>34903</v>
      </c>
      <c r="G101" s="36">
        <v>32476</v>
      </c>
      <c r="H101" s="36">
        <v>28907</v>
      </c>
      <c r="I101" s="36">
        <v>28157</v>
      </c>
      <c r="J101" s="36">
        <v>27300</v>
      </c>
      <c r="K101" s="36">
        <v>37619</v>
      </c>
      <c r="L101" s="36">
        <v>44282</v>
      </c>
      <c r="M101" s="36">
        <v>36221</v>
      </c>
      <c r="N101" s="36">
        <v>40782</v>
      </c>
      <c r="O101" s="36">
        <v>46123</v>
      </c>
      <c r="P101" s="36">
        <v>42751</v>
      </c>
      <c r="Q101" s="36">
        <v>53399</v>
      </c>
      <c r="R101" s="36">
        <v>39752</v>
      </c>
      <c r="S101" s="36">
        <v>38519</v>
      </c>
      <c r="T101" s="36">
        <v>41419</v>
      </c>
      <c r="U101" s="36">
        <v>53353</v>
      </c>
      <c r="V101" s="36">
        <v>41358</v>
      </c>
      <c r="W101" s="36">
        <v>41978</v>
      </c>
      <c r="X101" s="36">
        <v>39529</v>
      </c>
      <c r="Y101" s="36">
        <v>47917</v>
      </c>
      <c r="Z101" s="36">
        <v>33038</v>
      </c>
      <c r="AA101" s="36">
        <v>34791</v>
      </c>
      <c r="AB101" s="36">
        <v>35238</v>
      </c>
      <c r="AC101" s="36">
        <v>35526</v>
      </c>
      <c r="AD101" s="36">
        <v>28715</v>
      </c>
      <c r="AE101" s="36">
        <v>16853</v>
      </c>
      <c r="AF101" s="36">
        <v>33207</v>
      </c>
      <c r="AG101" s="36">
        <v>52082</v>
      </c>
      <c r="AH101" s="36">
        <v>20618</v>
      </c>
      <c r="AI101" s="36">
        <v>25663</v>
      </c>
      <c r="AJ101" s="36">
        <v>26754</v>
      </c>
      <c r="AL101" s="36">
        <f t="shared" si="162"/>
        <v>32476</v>
      </c>
      <c r="AM101" s="36">
        <f t="shared" si="163"/>
        <v>37619</v>
      </c>
      <c r="AN101" s="36">
        <f t="shared" si="164"/>
        <v>46123</v>
      </c>
      <c r="AO101" s="36">
        <f t="shared" si="106"/>
        <v>38519</v>
      </c>
      <c r="AP101" s="36">
        <f t="shared" si="159"/>
        <v>41978</v>
      </c>
      <c r="AQ101" s="36">
        <f t="shared" si="161"/>
        <v>34791</v>
      </c>
      <c r="AR101" s="36">
        <f t="shared" si="197"/>
        <v>16853</v>
      </c>
      <c r="AS101" s="36">
        <f t="shared" si="156"/>
        <v>25663</v>
      </c>
      <c r="AT101" s="36">
        <f t="shared" si="156"/>
        <v>26754</v>
      </c>
      <c r="AU101" s="149"/>
      <c r="AX101" s="148"/>
      <c r="AZ101" s="146"/>
    </row>
    <row r="102" spans="2:54" ht="12" customHeight="1" x14ac:dyDescent="0.2">
      <c r="B102" s="34"/>
      <c r="C102" s="35" t="s">
        <v>116</v>
      </c>
      <c r="D102" s="36"/>
      <c r="E102" s="36"/>
      <c r="F102" s="36"/>
      <c r="G102" s="36">
        <v>3959</v>
      </c>
      <c r="H102" s="36">
        <v>5241</v>
      </c>
      <c r="I102" s="36">
        <v>8005</v>
      </c>
      <c r="J102" s="36">
        <v>8184</v>
      </c>
      <c r="K102" s="36">
        <v>8836</v>
      </c>
      <c r="L102" s="36">
        <v>8860</v>
      </c>
      <c r="M102" s="36">
        <v>9797</v>
      </c>
      <c r="N102" s="36">
        <v>9442</v>
      </c>
      <c r="O102" s="36">
        <v>10133</v>
      </c>
      <c r="P102" s="36">
        <v>10031</v>
      </c>
      <c r="Q102" s="36">
        <v>9652</v>
      </c>
      <c r="R102" s="36">
        <v>9113</v>
      </c>
      <c r="S102" s="36">
        <v>8974</v>
      </c>
      <c r="T102" s="36">
        <v>8738</v>
      </c>
      <c r="U102" s="36">
        <v>8376</v>
      </c>
      <c r="V102" s="36">
        <v>9675</v>
      </c>
      <c r="W102" s="36">
        <v>9556</v>
      </c>
      <c r="X102" s="36">
        <v>8946</v>
      </c>
      <c r="Y102" s="36">
        <v>8579</v>
      </c>
      <c r="Z102" s="36">
        <v>8298</v>
      </c>
      <c r="AA102" s="36">
        <v>11110</v>
      </c>
      <c r="AB102" s="36">
        <v>11736</v>
      </c>
      <c r="AC102" s="36">
        <v>10881</v>
      </c>
      <c r="AD102" s="36">
        <v>9254</v>
      </c>
      <c r="AE102" s="36">
        <v>11950</v>
      </c>
      <c r="AF102" s="36">
        <v>10400</v>
      </c>
      <c r="AG102" s="36">
        <v>9391</v>
      </c>
      <c r="AH102" s="36">
        <v>9306</v>
      </c>
      <c r="AI102" s="36">
        <v>12382</v>
      </c>
      <c r="AJ102" s="36">
        <v>11486</v>
      </c>
      <c r="AL102" s="36">
        <f t="shared" si="162"/>
        <v>3959</v>
      </c>
      <c r="AM102" s="36">
        <f t="shared" si="163"/>
        <v>8836</v>
      </c>
      <c r="AN102" s="36">
        <f t="shared" si="164"/>
        <v>10133</v>
      </c>
      <c r="AO102" s="36">
        <f t="shared" si="106"/>
        <v>8974</v>
      </c>
      <c r="AP102" s="36">
        <f t="shared" si="159"/>
        <v>9556</v>
      </c>
      <c r="AQ102" s="36">
        <f t="shared" si="161"/>
        <v>11110</v>
      </c>
      <c r="AR102" s="36">
        <f t="shared" si="197"/>
        <v>11950</v>
      </c>
      <c r="AS102" s="36">
        <f t="shared" si="156"/>
        <v>12382</v>
      </c>
      <c r="AT102" s="36">
        <f t="shared" si="156"/>
        <v>11486</v>
      </c>
      <c r="AU102" s="149"/>
      <c r="AZ102" s="146"/>
    </row>
    <row r="103" spans="2:54" ht="12" customHeight="1" x14ac:dyDescent="0.2">
      <c r="B103" s="31"/>
      <c r="C103" s="32" t="s">
        <v>117</v>
      </c>
      <c r="D103" s="33">
        <v>16202</v>
      </c>
      <c r="E103" s="33">
        <v>15419</v>
      </c>
      <c r="F103" s="33">
        <v>15840</v>
      </c>
      <c r="G103" s="33">
        <v>16466</v>
      </c>
      <c r="H103" s="33">
        <v>15990</v>
      </c>
      <c r="I103" s="33">
        <v>16105</v>
      </c>
      <c r="J103" s="33">
        <v>16217</v>
      </c>
      <c r="K103" s="33">
        <v>13743</v>
      </c>
      <c r="L103" s="33">
        <v>15597</v>
      </c>
      <c r="M103" s="33">
        <v>15558</v>
      </c>
      <c r="N103" s="33">
        <v>15234</v>
      </c>
      <c r="O103" s="33">
        <v>17195</v>
      </c>
      <c r="P103" s="33">
        <v>21138</v>
      </c>
      <c r="Q103" s="33">
        <v>20397</v>
      </c>
      <c r="R103" s="33">
        <v>18299</v>
      </c>
      <c r="S103" s="33">
        <v>17608</v>
      </c>
      <c r="T103" s="33">
        <v>20737</v>
      </c>
      <c r="U103" s="33">
        <v>15445</v>
      </c>
      <c r="V103" s="33">
        <v>13829</v>
      </c>
      <c r="W103" s="33">
        <v>15382</v>
      </c>
      <c r="X103" s="33">
        <v>19295</v>
      </c>
      <c r="Y103" s="33">
        <v>19654</v>
      </c>
      <c r="Z103" s="33">
        <v>17777</v>
      </c>
      <c r="AA103" s="33">
        <v>20954</v>
      </c>
      <c r="AB103" s="33">
        <v>20629</v>
      </c>
      <c r="AC103" s="33">
        <v>19836</v>
      </c>
      <c r="AD103" s="33">
        <v>19459</v>
      </c>
      <c r="AE103" s="33">
        <v>22854</v>
      </c>
      <c r="AF103" s="33">
        <v>24276</v>
      </c>
      <c r="AG103" s="33">
        <v>20066</v>
      </c>
      <c r="AH103" s="33">
        <v>19509</v>
      </c>
      <c r="AI103" s="33">
        <v>24265</v>
      </c>
      <c r="AJ103" s="33">
        <v>26537</v>
      </c>
      <c r="AL103" s="33">
        <f t="shared" si="162"/>
        <v>16466</v>
      </c>
      <c r="AM103" s="33">
        <f t="shared" si="163"/>
        <v>13743</v>
      </c>
      <c r="AN103" s="33">
        <f t="shared" si="164"/>
        <v>17195</v>
      </c>
      <c r="AO103" s="33">
        <f t="shared" si="106"/>
        <v>17608</v>
      </c>
      <c r="AP103" s="33">
        <f t="shared" si="159"/>
        <v>15382</v>
      </c>
      <c r="AQ103" s="33">
        <f t="shared" si="161"/>
        <v>20954</v>
      </c>
      <c r="AR103" s="33">
        <f t="shared" si="197"/>
        <v>22854</v>
      </c>
      <c r="AS103" s="33">
        <f t="shared" si="156"/>
        <v>24265</v>
      </c>
      <c r="AT103" s="33">
        <f t="shared" si="156"/>
        <v>26537</v>
      </c>
      <c r="AU103" s="149"/>
      <c r="AX103" s="148"/>
      <c r="AZ103" s="146"/>
    </row>
    <row r="104" spans="2:54" ht="12" customHeight="1" x14ac:dyDescent="0.2">
      <c r="B104" s="31"/>
      <c r="C104" s="32" t="s">
        <v>118</v>
      </c>
      <c r="D104" s="33">
        <v>22211</v>
      </c>
      <c r="E104" s="33">
        <v>10948</v>
      </c>
      <c r="F104" s="33">
        <v>7990</v>
      </c>
      <c r="G104" s="33">
        <v>7834</v>
      </c>
      <c r="H104" s="33">
        <v>8324</v>
      </c>
      <c r="I104" s="33">
        <v>9154</v>
      </c>
      <c r="J104" s="33">
        <v>12942</v>
      </c>
      <c r="K104" s="33">
        <v>18650</v>
      </c>
      <c r="L104" s="33">
        <v>18276</v>
      </c>
      <c r="M104" s="33">
        <v>18275</v>
      </c>
      <c r="N104" s="33">
        <v>20530</v>
      </c>
      <c r="O104" s="33">
        <v>15965</v>
      </c>
      <c r="P104" s="33">
        <v>15356</v>
      </c>
      <c r="Q104" s="33">
        <v>14150</v>
      </c>
      <c r="R104" s="33">
        <v>11984</v>
      </c>
      <c r="S104" s="33">
        <v>11727</v>
      </c>
      <c r="T104" s="33">
        <v>11068</v>
      </c>
      <c r="U104" s="33">
        <v>11640</v>
      </c>
      <c r="V104" s="33">
        <v>13070</v>
      </c>
      <c r="W104" s="33">
        <v>12482</v>
      </c>
      <c r="X104" s="33">
        <v>13610</v>
      </c>
      <c r="Y104" s="33">
        <v>13779</v>
      </c>
      <c r="Z104" s="33">
        <v>14373</v>
      </c>
      <c r="AA104" s="33">
        <v>12914</v>
      </c>
      <c r="AB104" s="33">
        <v>13765</v>
      </c>
      <c r="AC104" s="33">
        <v>20694</v>
      </c>
      <c r="AD104" s="33">
        <v>21683</v>
      </c>
      <c r="AE104" s="33">
        <v>29785</v>
      </c>
      <c r="AF104" s="33">
        <v>31418</v>
      </c>
      <c r="AG104" s="33">
        <v>28525</v>
      </c>
      <c r="AH104" s="33">
        <v>34959</v>
      </c>
      <c r="AI104" s="33">
        <v>39185</v>
      </c>
      <c r="AJ104" s="33">
        <v>40758</v>
      </c>
      <c r="AL104" s="33">
        <f t="shared" si="162"/>
        <v>7834</v>
      </c>
      <c r="AM104" s="33">
        <f t="shared" si="163"/>
        <v>18650</v>
      </c>
      <c r="AN104" s="33">
        <f t="shared" si="164"/>
        <v>15965</v>
      </c>
      <c r="AO104" s="33">
        <f t="shared" si="106"/>
        <v>11727</v>
      </c>
      <c r="AP104" s="33">
        <f t="shared" si="159"/>
        <v>12482</v>
      </c>
      <c r="AQ104" s="33">
        <f t="shared" si="161"/>
        <v>12914</v>
      </c>
      <c r="AR104" s="33">
        <f t="shared" si="197"/>
        <v>29785</v>
      </c>
      <c r="AS104" s="33">
        <f t="shared" si="156"/>
        <v>39185</v>
      </c>
      <c r="AT104" s="33">
        <f t="shared" si="156"/>
        <v>40758</v>
      </c>
      <c r="AU104" s="149"/>
      <c r="AZ104" s="146"/>
    </row>
    <row r="105" spans="2:54" ht="12" customHeight="1" x14ac:dyDescent="0.2">
      <c r="B105" s="31"/>
      <c r="C105" s="32" t="s">
        <v>119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143</v>
      </c>
      <c r="L105" s="37">
        <v>143</v>
      </c>
      <c r="M105" s="37">
        <v>143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23</v>
      </c>
      <c r="T105" s="37">
        <v>23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5056</v>
      </c>
      <c r="AF105" s="37">
        <v>5056</v>
      </c>
      <c r="AG105" s="37">
        <v>5056</v>
      </c>
      <c r="AH105" s="37">
        <v>5056</v>
      </c>
      <c r="AI105" s="37">
        <v>0</v>
      </c>
      <c r="AJ105" s="37">
        <v>0</v>
      </c>
      <c r="AL105" s="37">
        <f t="shared" si="162"/>
        <v>0</v>
      </c>
      <c r="AM105" s="37">
        <f t="shared" si="163"/>
        <v>143</v>
      </c>
      <c r="AN105" s="37">
        <f t="shared" si="164"/>
        <v>0</v>
      </c>
      <c r="AO105" s="37">
        <f t="shared" si="106"/>
        <v>23</v>
      </c>
      <c r="AP105" s="37">
        <f t="shared" si="159"/>
        <v>0</v>
      </c>
      <c r="AQ105" s="37">
        <f t="shared" si="161"/>
        <v>0</v>
      </c>
      <c r="AR105" s="37">
        <f t="shared" si="197"/>
        <v>5056</v>
      </c>
      <c r="AS105" s="37">
        <f t="shared" si="156"/>
        <v>0</v>
      </c>
      <c r="AT105" s="37">
        <f t="shared" si="156"/>
        <v>0</v>
      </c>
      <c r="AU105" s="149"/>
      <c r="AW105" s="38"/>
      <c r="AX105" s="148"/>
      <c r="AZ105" s="146"/>
    </row>
    <row r="106" spans="2:54" ht="12" customHeight="1" x14ac:dyDescent="0.2">
      <c r="B106" s="218" t="s">
        <v>120</v>
      </c>
      <c r="C106" s="218"/>
      <c r="D106" s="39">
        <f t="shared" ref="D106:F106" si="204">SUM(D55,D70)</f>
        <v>828524</v>
      </c>
      <c r="E106" s="39">
        <f t="shared" si="204"/>
        <v>842284</v>
      </c>
      <c r="F106" s="39">
        <f t="shared" si="204"/>
        <v>837730</v>
      </c>
      <c r="G106" s="39">
        <f>SUM(G55,G70)</f>
        <v>839190</v>
      </c>
      <c r="H106" s="39">
        <f t="shared" ref="H106:R106" si="205">SUM(H55,H70)</f>
        <v>871987</v>
      </c>
      <c r="I106" s="39">
        <f t="shared" si="205"/>
        <v>860208</v>
      </c>
      <c r="J106" s="39">
        <f t="shared" si="205"/>
        <v>870728</v>
      </c>
      <c r="K106" s="39">
        <f t="shared" si="205"/>
        <v>887836</v>
      </c>
      <c r="L106" s="39">
        <f t="shared" si="205"/>
        <v>903974.00499999989</v>
      </c>
      <c r="M106" s="39">
        <f t="shared" si="205"/>
        <v>913866</v>
      </c>
      <c r="N106" s="39">
        <f t="shared" si="205"/>
        <v>917301</v>
      </c>
      <c r="O106" s="39">
        <f t="shared" si="205"/>
        <v>874949</v>
      </c>
      <c r="P106" s="39">
        <f t="shared" si="205"/>
        <v>952018</v>
      </c>
      <c r="Q106" s="39">
        <f t="shared" si="205"/>
        <v>964698</v>
      </c>
      <c r="R106" s="39">
        <f t="shared" si="205"/>
        <v>992103</v>
      </c>
      <c r="S106" s="39">
        <f t="shared" ref="S106:V106" si="206">SUM(S55,S70)</f>
        <v>999260</v>
      </c>
      <c r="T106" s="39">
        <f t="shared" si="206"/>
        <v>1046310</v>
      </c>
      <c r="U106" s="39">
        <f t="shared" si="206"/>
        <v>1058983</v>
      </c>
      <c r="V106" s="39">
        <f t="shared" si="206"/>
        <v>1055300</v>
      </c>
      <c r="W106" s="39">
        <f t="shared" ref="W106:AD106" si="207">SUM(W55,W70)</f>
        <v>1042047</v>
      </c>
      <c r="X106" s="39">
        <f t="shared" si="207"/>
        <v>1060586</v>
      </c>
      <c r="Y106" s="39">
        <f t="shared" si="207"/>
        <v>1049326</v>
      </c>
      <c r="Z106" s="39">
        <f t="shared" si="207"/>
        <v>1059389</v>
      </c>
      <c r="AA106" s="39">
        <f t="shared" si="207"/>
        <v>975198</v>
      </c>
      <c r="AB106" s="39">
        <f t="shared" si="207"/>
        <v>984531</v>
      </c>
      <c r="AC106" s="39">
        <f t="shared" si="207"/>
        <v>972807</v>
      </c>
      <c r="AD106" s="39">
        <f t="shared" si="207"/>
        <v>975381</v>
      </c>
      <c r="AE106" s="39">
        <f t="shared" ref="AE106:AI106" si="208">SUM(AE55,AE70)</f>
        <v>965357</v>
      </c>
      <c r="AF106" s="39">
        <f t="shared" si="208"/>
        <v>985346</v>
      </c>
      <c r="AG106" s="39">
        <f t="shared" si="208"/>
        <v>998601</v>
      </c>
      <c r="AH106" s="39">
        <f t="shared" si="208"/>
        <v>1023704</v>
      </c>
      <c r="AI106" s="39">
        <f t="shared" si="208"/>
        <v>1034155</v>
      </c>
      <c r="AJ106" s="39">
        <f t="shared" ref="AJ106" si="209">SUM(AJ55,AJ70)</f>
        <v>1070234</v>
      </c>
      <c r="AL106" s="39">
        <f t="shared" ref="AL106" si="210">G106</f>
        <v>839190</v>
      </c>
      <c r="AM106" s="39">
        <f t="shared" ref="AM106" si="211">K106</f>
        <v>887836</v>
      </c>
      <c r="AN106" s="39">
        <f t="shared" si="164"/>
        <v>874949</v>
      </c>
      <c r="AO106" s="39">
        <f t="shared" si="106"/>
        <v>999260</v>
      </c>
      <c r="AP106" s="39">
        <f t="shared" si="159"/>
        <v>1042047</v>
      </c>
      <c r="AQ106" s="39">
        <f t="shared" si="161"/>
        <v>975198</v>
      </c>
      <c r="AR106" s="39">
        <f t="shared" si="197"/>
        <v>965357</v>
      </c>
      <c r="AS106" s="39">
        <f t="shared" si="156"/>
        <v>1034155</v>
      </c>
      <c r="AT106" s="39">
        <f t="shared" si="156"/>
        <v>1070234</v>
      </c>
      <c r="AU106" s="149"/>
      <c r="AZ106" s="146"/>
    </row>
    <row r="107" spans="2:54" ht="12" customHeight="1" x14ac:dyDescent="0.2">
      <c r="AU107" s="29"/>
    </row>
    <row r="108" spans="2:54" ht="12" customHeight="1" x14ac:dyDescent="0.2">
      <c r="AU108" s="29"/>
    </row>
  </sheetData>
  <mergeCells count="55">
    <mergeCell ref="B106:C106"/>
    <mergeCell ref="D8:D9"/>
    <mergeCell ref="E8:E9"/>
    <mergeCell ref="F8:F9"/>
    <mergeCell ref="B70:C70"/>
    <mergeCell ref="B71:C71"/>
    <mergeCell ref="B31:C31"/>
    <mergeCell ref="B54:C54"/>
    <mergeCell ref="B55:C55"/>
    <mergeCell ref="B56:C56"/>
    <mergeCell ref="B69:C69"/>
    <mergeCell ref="B10:C10"/>
    <mergeCell ref="B86:C86"/>
    <mergeCell ref="B7:C9"/>
    <mergeCell ref="G8:G9"/>
    <mergeCell ref="Z8:Z9"/>
    <mergeCell ref="U8:U9"/>
    <mergeCell ref="J8:J9"/>
    <mergeCell ref="L8:L9"/>
    <mergeCell ref="X8:X9"/>
    <mergeCell ref="H8:H9"/>
    <mergeCell ref="M8:M9"/>
    <mergeCell ref="T8:T9"/>
    <mergeCell ref="P8:P9"/>
    <mergeCell ref="Q8:Q9"/>
    <mergeCell ref="S8:S9"/>
    <mergeCell ref="I8:I9"/>
    <mergeCell ref="O8:O9"/>
    <mergeCell ref="AM8:AM9"/>
    <mergeCell ref="AL8:AL9"/>
    <mergeCell ref="R8:R9"/>
    <mergeCell ref="W8:W9"/>
    <mergeCell ref="AA8:AA9"/>
    <mergeCell ref="V8:V9"/>
    <mergeCell ref="AD8:AD9"/>
    <mergeCell ref="Y8:Y9"/>
    <mergeCell ref="AF8:AF9"/>
    <mergeCell ref="AI8:AI9"/>
    <mergeCell ref="AH8:AH9"/>
    <mergeCell ref="AJ8:AJ9"/>
    <mergeCell ref="AL7:AT7"/>
    <mergeCell ref="AT8:AT9"/>
    <mergeCell ref="AS8:AS9"/>
    <mergeCell ref="AC8:AC9"/>
    <mergeCell ref="AR8:AR9"/>
    <mergeCell ref="AQ8:AQ9"/>
    <mergeCell ref="AN8:AN9"/>
    <mergeCell ref="AP8:AP9"/>
    <mergeCell ref="AO8:AO9"/>
    <mergeCell ref="D7:AE7"/>
    <mergeCell ref="AE8:AE9"/>
    <mergeCell ref="AB8:AB9"/>
    <mergeCell ref="K8:K9"/>
    <mergeCell ref="N8:N9"/>
    <mergeCell ref="AG8:AG9"/>
  </mergeCells>
  <pageMargins left="0.78740157480314965" right="0.78740157480314965" top="0.78740157480314965" bottom="1.1811023622047245" header="0.51181102362204722" footer="0.98425196850393704"/>
  <pageSetup paperSize="9" scale="25" orientation="portrait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0CB7-9B76-4795-8A4E-82A4C00E22FA}">
  <sheetPr>
    <tabColor theme="0" tint="-0.34998626667073579"/>
    <pageSetUpPr fitToPage="1"/>
  </sheetPr>
  <dimension ref="B1:CA93"/>
  <sheetViews>
    <sheetView showGridLines="0" zoomScaleNormal="100" zoomScaleSheetLayoutView="100" workbookViewId="0">
      <pane xSplit="3" ySplit="9" topLeftCell="AC10" activePane="bottomRight" state="frozen"/>
      <selection activeCell="Q2" sqref="Q2"/>
      <selection pane="topRight" activeCell="Q2" sqref="Q2"/>
      <selection pane="bottomLeft" activeCell="Q2" sqref="Q2"/>
      <selection pane="bottomRight" activeCell="BR14" sqref="BR14"/>
    </sheetView>
  </sheetViews>
  <sheetFormatPr defaultColWidth="9.140625" defaultRowHeight="12" customHeight="1" outlineLevelCol="1" x14ac:dyDescent="0.2"/>
  <cols>
    <col min="1" max="1" width="1.140625" style="46" customWidth="1"/>
    <col min="2" max="2" width="2.5703125" style="45" customWidth="1"/>
    <col min="3" max="3" width="63.7109375" style="45" customWidth="1"/>
    <col min="4" max="36" width="9.28515625" style="46" customWidth="1" outlineLevel="1"/>
    <col min="37" max="37" width="9.28515625" style="47" customWidth="1"/>
    <col min="38" max="63" width="9.28515625" style="46" customWidth="1"/>
    <col min="64" max="69" width="9.140625" style="46" customWidth="1"/>
    <col min="70" max="70" width="9.7109375" style="46" customWidth="1"/>
    <col min="71" max="71" width="9.42578125" style="46" customWidth="1"/>
    <col min="72" max="72" width="22" style="46" customWidth="1"/>
    <col min="73" max="73" width="33.5703125" style="46" customWidth="1"/>
    <col min="74" max="74" width="9.140625" style="46"/>
    <col min="75" max="75" width="42.7109375" style="46" customWidth="1"/>
    <col min="76" max="76" width="21.140625" style="46" customWidth="1"/>
    <col min="77" max="16384" width="9.140625" style="46"/>
  </cols>
  <sheetData>
    <row r="1" spans="2:79" s="1" customFormat="1" ht="12" hidden="1" customHeight="1" x14ac:dyDescent="0.2">
      <c r="C1" s="2"/>
    </row>
    <row r="2" spans="2:79" s="1" customFormat="1" ht="12" hidden="1" customHeight="1" x14ac:dyDescent="0.2">
      <c r="C2" s="2"/>
    </row>
    <row r="3" spans="2:79" s="1" customFormat="1" ht="12" hidden="1" customHeight="1" x14ac:dyDescent="0.2">
      <c r="C3" s="2"/>
    </row>
    <row r="4" spans="2:79" s="1" customFormat="1" ht="12" hidden="1" customHeight="1" x14ac:dyDescent="0.2">
      <c r="C4" s="2"/>
    </row>
    <row r="5" spans="2:79" s="1" customFormat="1" ht="12" customHeight="1" x14ac:dyDescent="0.2">
      <c r="C5" s="2"/>
    </row>
    <row r="6" spans="2:79" s="99" customFormat="1" ht="12" customHeight="1" x14ac:dyDescent="0.2">
      <c r="B6" s="228" t="s">
        <v>125</v>
      </c>
      <c r="C6" s="229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</row>
    <row r="7" spans="2:79" s="99" customFormat="1" ht="12" customHeight="1" x14ac:dyDescent="0.2">
      <c r="B7" s="112"/>
      <c r="C7" s="113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</row>
    <row r="8" spans="2:79" s="150" customFormat="1" ht="12" customHeight="1" x14ac:dyDescent="0.2">
      <c r="B8" s="188" t="s">
        <v>59</v>
      </c>
      <c r="C8" s="202"/>
      <c r="D8" s="190" t="s">
        <v>121</v>
      </c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70"/>
      <c r="AA8" s="170"/>
      <c r="AB8" s="170"/>
      <c r="AC8" s="170"/>
      <c r="AD8" s="170"/>
      <c r="AE8" s="170"/>
      <c r="AF8" s="162"/>
      <c r="AG8" s="162"/>
      <c r="AH8" s="162"/>
      <c r="AI8" s="162"/>
      <c r="AJ8" s="162"/>
      <c r="AK8" s="99"/>
      <c r="AL8" s="237" t="s">
        <v>121</v>
      </c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  <c r="BM8" s="170"/>
    </row>
    <row r="9" spans="2:79" s="150" customFormat="1" ht="12" customHeight="1" x14ac:dyDescent="0.2">
      <c r="B9" s="203"/>
      <c r="C9" s="232"/>
      <c r="D9" s="135" t="s">
        <v>233</v>
      </c>
      <c r="E9" s="135" t="s">
        <v>245</v>
      </c>
      <c r="F9" s="135" t="s">
        <v>246</v>
      </c>
      <c r="G9" s="135" t="s">
        <v>247</v>
      </c>
      <c r="H9" s="135" t="s">
        <v>237</v>
      </c>
      <c r="I9" s="135" t="s">
        <v>248</v>
      </c>
      <c r="J9" s="135" t="s">
        <v>249</v>
      </c>
      <c r="K9" s="135" t="s">
        <v>250</v>
      </c>
      <c r="L9" s="135" t="s">
        <v>241</v>
      </c>
      <c r="M9" s="135" t="s">
        <v>251</v>
      </c>
      <c r="N9" s="135" t="s">
        <v>252</v>
      </c>
      <c r="O9" s="135" t="s">
        <v>253</v>
      </c>
      <c r="P9" s="135" t="s">
        <v>295</v>
      </c>
      <c r="Q9" s="135" t="s">
        <v>299</v>
      </c>
      <c r="R9" s="135" t="s">
        <v>305</v>
      </c>
      <c r="S9" s="135" t="s">
        <v>308</v>
      </c>
      <c r="T9" s="135" t="s">
        <v>309</v>
      </c>
      <c r="U9" s="135" t="s">
        <v>314</v>
      </c>
      <c r="V9" s="135" t="s">
        <v>317</v>
      </c>
      <c r="W9" s="135" t="s">
        <v>320</v>
      </c>
      <c r="X9" s="135" t="s">
        <v>323</v>
      </c>
      <c r="Y9" s="135" t="s">
        <v>327</v>
      </c>
      <c r="Z9" s="135" t="s">
        <v>330</v>
      </c>
      <c r="AA9" s="135" t="s">
        <v>332</v>
      </c>
      <c r="AB9" s="135" t="s">
        <v>334</v>
      </c>
      <c r="AC9" s="135" t="s">
        <v>339</v>
      </c>
      <c r="AD9" s="135" t="s">
        <v>344</v>
      </c>
      <c r="AE9" s="135" t="s">
        <v>349</v>
      </c>
      <c r="AF9" s="135" t="s">
        <v>355</v>
      </c>
      <c r="AG9" s="135" t="s">
        <v>360</v>
      </c>
      <c r="AH9" s="135" t="s">
        <v>363</v>
      </c>
      <c r="AI9" s="135" t="s">
        <v>366</v>
      </c>
      <c r="AJ9" s="135" t="s">
        <v>367</v>
      </c>
      <c r="AK9" s="99"/>
      <c r="AL9" s="135" t="s">
        <v>233</v>
      </c>
      <c r="AM9" s="135" t="s">
        <v>234</v>
      </c>
      <c r="AN9" s="135" t="s">
        <v>235</v>
      </c>
      <c r="AO9" s="135" t="s">
        <v>236</v>
      </c>
      <c r="AP9" s="135" t="s">
        <v>237</v>
      </c>
      <c r="AQ9" s="135" t="s">
        <v>238</v>
      </c>
      <c r="AR9" s="135" t="s">
        <v>239</v>
      </c>
      <c r="AS9" s="135" t="s">
        <v>240</v>
      </c>
      <c r="AT9" s="135" t="s">
        <v>241</v>
      </c>
      <c r="AU9" s="135" t="s">
        <v>242</v>
      </c>
      <c r="AV9" s="135" t="s">
        <v>243</v>
      </c>
      <c r="AW9" s="135" t="s">
        <v>244</v>
      </c>
      <c r="AX9" s="135" t="s">
        <v>295</v>
      </c>
      <c r="AY9" s="135" t="s">
        <v>297</v>
      </c>
      <c r="AZ9" s="135" t="s">
        <v>301</v>
      </c>
      <c r="BA9" s="135" t="s">
        <v>306</v>
      </c>
      <c r="BB9" s="135" t="s">
        <v>309</v>
      </c>
      <c r="BC9" s="135" t="s">
        <v>312</v>
      </c>
      <c r="BD9" s="135" t="s">
        <v>315</v>
      </c>
      <c r="BE9" s="135" t="s">
        <v>318</v>
      </c>
      <c r="BF9" s="135" t="s">
        <v>323</v>
      </c>
      <c r="BG9" s="135" t="s">
        <v>325</v>
      </c>
      <c r="BH9" s="135" t="s">
        <v>328</v>
      </c>
      <c r="BI9" s="135" t="s">
        <v>331</v>
      </c>
      <c r="BJ9" s="135" t="s">
        <v>334</v>
      </c>
      <c r="BK9" s="135" t="s">
        <v>336</v>
      </c>
      <c r="BL9" s="135" t="s">
        <v>341</v>
      </c>
      <c r="BM9" s="135" t="s">
        <v>345</v>
      </c>
      <c r="BN9" s="135" t="s">
        <v>355</v>
      </c>
      <c r="BO9" s="135" t="s">
        <v>357</v>
      </c>
      <c r="BP9" s="135" t="s">
        <v>361</v>
      </c>
      <c r="BQ9" s="135" t="s">
        <v>364</v>
      </c>
      <c r="BR9" s="135" t="s">
        <v>367</v>
      </c>
    </row>
    <row r="10" spans="2:79" ht="12" customHeight="1" x14ac:dyDescent="0.2">
      <c r="B10" s="61" t="s">
        <v>126</v>
      </c>
      <c r="C10" s="62"/>
      <c r="D10" s="62"/>
      <c r="E10" s="62"/>
      <c r="F10" s="62"/>
      <c r="G10" s="62"/>
      <c r="H10" s="62"/>
      <c r="I10" s="63"/>
      <c r="J10" s="63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L10" s="62"/>
      <c r="AM10" s="62"/>
      <c r="AN10" s="62"/>
      <c r="AO10" s="62"/>
      <c r="AP10" s="62"/>
      <c r="AQ10" s="63"/>
      <c r="AR10" s="63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</row>
    <row r="11" spans="2:79" ht="12" customHeight="1" x14ac:dyDescent="0.2">
      <c r="B11" s="233" t="s">
        <v>127</v>
      </c>
      <c r="C11" s="234"/>
      <c r="D11" s="49">
        <v>20205</v>
      </c>
      <c r="E11" s="49">
        <v>46929</v>
      </c>
      <c r="F11" s="49">
        <v>70096</v>
      </c>
      <c r="G11" s="49">
        <v>93178</v>
      </c>
      <c r="H11" s="49">
        <v>21827</v>
      </c>
      <c r="I11" s="49">
        <v>41169</v>
      </c>
      <c r="J11" s="49">
        <v>59790</v>
      </c>
      <c r="K11" s="49">
        <v>73884</v>
      </c>
      <c r="L11" s="49">
        <v>24175</v>
      </c>
      <c r="M11" s="49">
        <v>43848</v>
      </c>
      <c r="N11" s="49">
        <v>64633</v>
      </c>
      <c r="O11" s="49">
        <v>81917</v>
      </c>
      <c r="P11" s="49">
        <v>54031</v>
      </c>
      <c r="Q11" s="49">
        <v>67167</v>
      </c>
      <c r="R11" s="49">
        <v>83669</v>
      </c>
      <c r="S11" s="49">
        <v>85244</v>
      </c>
      <c r="T11" s="49">
        <v>-1385</v>
      </c>
      <c r="U11" s="49">
        <v>5306</v>
      </c>
      <c r="V11" s="49">
        <v>2684</v>
      </c>
      <c r="W11" s="49">
        <v>15915</v>
      </c>
      <c r="X11" s="49">
        <v>13286</v>
      </c>
      <c r="Y11" s="49">
        <v>24698</v>
      </c>
      <c r="Z11" s="49">
        <v>36272</v>
      </c>
      <c r="AA11" s="49">
        <v>27544</v>
      </c>
      <c r="AB11" s="49">
        <v>15378</v>
      </c>
      <c r="AC11" s="49">
        <v>49004</v>
      </c>
      <c r="AD11" s="49">
        <v>70743</v>
      </c>
      <c r="AE11" s="49">
        <v>81818</v>
      </c>
      <c r="AF11" s="49">
        <v>16221</v>
      </c>
      <c r="AG11" s="49">
        <v>39249</v>
      </c>
      <c r="AH11" s="49">
        <v>61227</v>
      </c>
      <c r="AI11" s="49">
        <v>80627</v>
      </c>
      <c r="AJ11" s="49">
        <v>26035</v>
      </c>
      <c r="AL11" s="49">
        <v>20205</v>
      </c>
      <c r="AM11" s="49">
        <f>E11-D11</f>
        <v>26724</v>
      </c>
      <c r="AN11" s="49">
        <f>F11-E11</f>
        <v>23167</v>
      </c>
      <c r="AO11" s="49">
        <f>G11-F11</f>
        <v>23082</v>
      </c>
      <c r="AP11" s="49">
        <v>21827</v>
      </c>
      <c r="AQ11" s="49">
        <f>I11-H11</f>
        <v>19342</v>
      </c>
      <c r="AR11" s="49">
        <f>J11-I11</f>
        <v>18621</v>
      </c>
      <c r="AS11" s="49">
        <f>K11-J11</f>
        <v>14094</v>
      </c>
      <c r="AT11" s="49">
        <v>24175</v>
      </c>
      <c r="AU11" s="49">
        <f>M11-L11</f>
        <v>19673</v>
      </c>
      <c r="AV11" s="49">
        <f>N11-M11</f>
        <v>20785</v>
      </c>
      <c r="AW11" s="49">
        <f>O11-N11</f>
        <v>17284</v>
      </c>
      <c r="AX11" s="49">
        <v>54031</v>
      </c>
      <c r="AY11" s="49">
        <f>Q11-P11</f>
        <v>13136</v>
      </c>
      <c r="AZ11" s="49">
        <f>R11-Q11</f>
        <v>16502</v>
      </c>
      <c r="BA11" s="49">
        <f>S11-R11</f>
        <v>1575</v>
      </c>
      <c r="BB11" s="49">
        <f>T11</f>
        <v>-1385</v>
      </c>
      <c r="BC11" s="49">
        <f>U11-T11</f>
        <v>6691</v>
      </c>
      <c r="BD11" s="49">
        <f>V11-U11</f>
        <v>-2622</v>
      </c>
      <c r="BE11" s="49">
        <f>W11-V11</f>
        <v>13231</v>
      </c>
      <c r="BF11" s="49">
        <f>X11</f>
        <v>13286</v>
      </c>
      <c r="BG11" s="49">
        <f>Y11-X11</f>
        <v>11412</v>
      </c>
      <c r="BH11" s="49">
        <f>Z11-Y11</f>
        <v>11574</v>
      </c>
      <c r="BI11" s="49">
        <f>AA11-Z11</f>
        <v>-8728</v>
      </c>
      <c r="BJ11" s="49">
        <f>AB11</f>
        <v>15378</v>
      </c>
      <c r="BK11" s="49">
        <f>AC11-AB11</f>
        <v>33626</v>
      </c>
      <c r="BL11" s="49">
        <f>AD11-AC11</f>
        <v>21739</v>
      </c>
      <c r="BM11" s="49">
        <f>AE11-AD11</f>
        <v>11075</v>
      </c>
      <c r="BN11" s="49">
        <f>AF11</f>
        <v>16221</v>
      </c>
      <c r="BO11" s="49">
        <f>AG11-AF11</f>
        <v>23028</v>
      </c>
      <c r="BP11" s="49">
        <f>AH11-AG11</f>
        <v>21978</v>
      </c>
      <c r="BQ11" s="49">
        <f>AI11-AH11</f>
        <v>19400</v>
      </c>
      <c r="BR11" s="49">
        <f>AJ11</f>
        <v>26035</v>
      </c>
    </row>
    <row r="12" spans="2:79" s="50" customFormat="1" ht="12" customHeight="1" x14ac:dyDescent="0.2">
      <c r="B12" s="231" t="s">
        <v>128</v>
      </c>
      <c r="C12" s="235"/>
      <c r="D12" s="68">
        <f t="shared" ref="D12:I12" si="0">SUM(D13:D31)</f>
        <v>11008</v>
      </c>
      <c r="E12" s="68">
        <f t="shared" si="0"/>
        <v>23279</v>
      </c>
      <c r="F12" s="68">
        <f t="shared" si="0"/>
        <v>33840</v>
      </c>
      <c r="G12" s="68">
        <f t="shared" si="0"/>
        <v>44389</v>
      </c>
      <c r="H12" s="68">
        <f t="shared" si="0"/>
        <v>12023</v>
      </c>
      <c r="I12" s="68">
        <f t="shared" si="0"/>
        <v>25056</v>
      </c>
      <c r="J12" s="68">
        <f>SUM(J13:J31)</f>
        <v>37267</v>
      </c>
      <c r="K12" s="68">
        <f t="shared" ref="K12:P12" si="1">SUM(K13:K31)</f>
        <v>44883</v>
      </c>
      <c r="L12" s="68">
        <f t="shared" si="1"/>
        <v>11397</v>
      </c>
      <c r="M12" s="68">
        <f t="shared" si="1"/>
        <v>26621</v>
      </c>
      <c r="N12" s="68">
        <f t="shared" si="1"/>
        <v>37072</v>
      </c>
      <c r="O12" s="68">
        <f t="shared" si="1"/>
        <v>51209</v>
      </c>
      <c r="P12" s="68">
        <f t="shared" si="1"/>
        <v>-23275</v>
      </c>
      <c r="Q12" s="68">
        <f t="shared" ref="Q12:AD12" si="2">SUM(Q13:Q31)</f>
        <v>-3266</v>
      </c>
      <c r="R12" s="68">
        <f t="shared" si="2"/>
        <v>11864</v>
      </c>
      <c r="S12" s="68">
        <f t="shared" si="2"/>
        <v>29437</v>
      </c>
      <c r="T12" s="68">
        <f t="shared" si="2"/>
        <v>14323</v>
      </c>
      <c r="U12" s="68">
        <f t="shared" si="2"/>
        <v>31165</v>
      </c>
      <c r="V12" s="68">
        <f t="shared" si="2"/>
        <v>63530</v>
      </c>
      <c r="W12" s="68">
        <f t="shared" si="2"/>
        <v>82331</v>
      </c>
      <c r="X12" s="68">
        <f t="shared" si="2"/>
        <v>20526</v>
      </c>
      <c r="Y12" s="68">
        <f t="shared" si="2"/>
        <v>35806</v>
      </c>
      <c r="Z12" s="68">
        <f t="shared" si="2"/>
        <v>56401</v>
      </c>
      <c r="AA12" s="68">
        <f t="shared" si="2"/>
        <v>88773</v>
      </c>
      <c r="AB12" s="68">
        <f t="shared" si="2"/>
        <v>17655</v>
      </c>
      <c r="AC12" s="68">
        <f t="shared" si="2"/>
        <v>31092</v>
      </c>
      <c r="AD12" s="68">
        <f t="shared" si="2"/>
        <v>48635</v>
      </c>
      <c r="AE12" s="68">
        <f t="shared" ref="AE12:AI12" si="3">SUM(AE13:AE31)</f>
        <v>67757</v>
      </c>
      <c r="AF12" s="68">
        <f t="shared" si="3"/>
        <v>19396</v>
      </c>
      <c r="AG12" s="68">
        <f t="shared" si="3"/>
        <v>39631</v>
      </c>
      <c r="AH12" s="68">
        <f t="shared" si="3"/>
        <v>60116</v>
      </c>
      <c r="AI12" s="68">
        <f t="shared" si="3"/>
        <v>67631</v>
      </c>
      <c r="AJ12" s="68">
        <f t="shared" ref="AJ12" si="4">SUM(AJ13:AJ31)</f>
        <v>21628</v>
      </c>
      <c r="AK12" s="47"/>
      <c r="AL12" s="68">
        <f t="shared" ref="AL12:BC12" si="5">SUM(AL13:AL31)</f>
        <v>11008</v>
      </c>
      <c r="AM12" s="68">
        <f t="shared" si="5"/>
        <v>12271</v>
      </c>
      <c r="AN12" s="68">
        <f t="shared" si="5"/>
        <v>10561</v>
      </c>
      <c r="AO12" s="68">
        <f t="shared" si="5"/>
        <v>10549</v>
      </c>
      <c r="AP12" s="68">
        <f t="shared" si="5"/>
        <v>12023</v>
      </c>
      <c r="AQ12" s="68">
        <f t="shared" si="5"/>
        <v>13033</v>
      </c>
      <c r="AR12" s="68">
        <f t="shared" si="5"/>
        <v>12211</v>
      </c>
      <c r="AS12" s="68">
        <f t="shared" si="5"/>
        <v>7616</v>
      </c>
      <c r="AT12" s="68">
        <f t="shared" si="5"/>
        <v>11397</v>
      </c>
      <c r="AU12" s="68">
        <f t="shared" si="5"/>
        <v>15224</v>
      </c>
      <c r="AV12" s="68">
        <f t="shared" si="5"/>
        <v>10451</v>
      </c>
      <c r="AW12" s="68">
        <f t="shared" si="5"/>
        <v>14137</v>
      </c>
      <c r="AX12" s="68">
        <f t="shared" si="5"/>
        <v>-23275</v>
      </c>
      <c r="AY12" s="68">
        <f t="shared" si="5"/>
        <v>20009</v>
      </c>
      <c r="AZ12" s="68">
        <f t="shared" si="5"/>
        <v>15130</v>
      </c>
      <c r="BA12" s="68">
        <f t="shared" si="5"/>
        <v>17573</v>
      </c>
      <c r="BB12" s="68">
        <f t="shared" si="5"/>
        <v>14323</v>
      </c>
      <c r="BC12" s="68">
        <f t="shared" si="5"/>
        <v>16842</v>
      </c>
      <c r="BD12" s="68">
        <f t="shared" ref="BD12:BG12" si="6">SUM(BD13:BD31)</f>
        <v>32365</v>
      </c>
      <c r="BE12" s="68">
        <f t="shared" si="6"/>
        <v>18801</v>
      </c>
      <c r="BF12" s="68">
        <f t="shared" si="6"/>
        <v>20526</v>
      </c>
      <c r="BG12" s="68">
        <f t="shared" si="6"/>
        <v>15280</v>
      </c>
      <c r="BH12" s="68">
        <f t="shared" ref="BH12:BK12" si="7">SUM(BH13:BH31)</f>
        <v>20595</v>
      </c>
      <c r="BI12" s="68">
        <f t="shared" si="7"/>
        <v>32372</v>
      </c>
      <c r="BJ12" s="68">
        <f t="shared" si="7"/>
        <v>17655</v>
      </c>
      <c r="BK12" s="68">
        <f t="shared" si="7"/>
        <v>13437</v>
      </c>
      <c r="BL12" s="68">
        <f t="shared" ref="BL12:BO12" si="8">SUM(BL13:BL31)</f>
        <v>17543</v>
      </c>
      <c r="BM12" s="68">
        <f t="shared" si="8"/>
        <v>8250</v>
      </c>
      <c r="BN12" s="68">
        <f t="shared" si="8"/>
        <v>19396</v>
      </c>
      <c r="BO12" s="68">
        <f t="shared" si="8"/>
        <v>20235</v>
      </c>
      <c r="BP12" s="68">
        <f t="shared" ref="BP12:BR12" si="9">SUM(BP13:BP31)</f>
        <v>20485</v>
      </c>
      <c r="BQ12" s="68">
        <f t="shared" si="9"/>
        <v>7515</v>
      </c>
      <c r="BR12" s="68">
        <f t="shared" si="9"/>
        <v>21628</v>
      </c>
      <c r="BS12" s="46"/>
      <c r="BT12" s="46"/>
      <c r="BU12" s="46"/>
      <c r="BV12" s="46"/>
      <c r="BW12" s="46"/>
      <c r="BX12" s="46"/>
      <c r="BY12" s="46"/>
      <c r="BZ12" s="46"/>
      <c r="CA12" s="46"/>
    </row>
    <row r="13" spans="2:79" ht="12" customHeight="1" x14ac:dyDescent="0.2">
      <c r="B13" s="51"/>
      <c r="C13" s="67" t="s">
        <v>129</v>
      </c>
      <c r="D13" s="52">
        <v>2696</v>
      </c>
      <c r="E13" s="52">
        <v>5515</v>
      </c>
      <c r="F13" s="52">
        <v>8525</v>
      </c>
      <c r="G13" s="52">
        <v>11811</v>
      </c>
      <c r="H13" s="52">
        <v>3701</v>
      </c>
      <c r="I13" s="52">
        <v>7486</v>
      </c>
      <c r="J13" s="52">
        <v>11020</v>
      </c>
      <c r="K13" s="52">
        <v>14804</v>
      </c>
      <c r="L13" s="52">
        <v>3501</v>
      </c>
      <c r="M13" s="52">
        <v>7102</v>
      </c>
      <c r="N13" s="52">
        <v>11134</v>
      </c>
      <c r="O13" s="52">
        <v>14559</v>
      </c>
      <c r="P13" s="52">
        <v>3719</v>
      </c>
      <c r="Q13" s="52">
        <v>7417</v>
      </c>
      <c r="R13" s="52">
        <v>11133</v>
      </c>
      <c r="S13" s="52">
        <v>14803</v>
      </c>
      <c r="T13" s="52">
        <v>4635</v>
      </c>
      <c r="U13" s="52">
        <v>7448</v>
      </c>
      <c r="V13" s="52">
        <v>11034</v>
      </c>
      <c r="W13" s="52">
        <v>14530</v>
      </c>
      <c r="X13" s="52">
        <v>3729</v>
      </c>
      <c r="Y13" s="52">
        <v>8056</v>
      </c>
      <c r="Z13" s="52">
        <v>12474</v>
      </c>
      <c r="AA13" s="52">
        <v>16807</v>
      </c>
      <c r="AB13" s="52">
        <v>3207</v>
      </c>
      <c r="AC13" s="52">
        <v>7520</v>
      </c>
      <c r="AD13" s="52">
        <v>11384</v>
      </c>
      <c r="AE13" s="52">
        <v>16268</v>
      </c>
      <c r="AF13" s="52">
        <v>5847</v>
      </c>
      <c r="AG13" s="52">
        <v>11595</v>
      </c>
      <c r="AH13" s="52">
        <v>17439</v>
      </c>
      <c r="AI13" s="52">
        <v>23716</v>
      </c>
      <c r="AJ13" s="52">
        <v>6970</v>
      </c>
      <c r="AL13" s="52">
        <v>2696</v>
      </c>
      <c r="AM13" s="52">
        <f t="shared" ref="AM13:AM28" si="10">E13-D13</f>
        <v>2819</v>
      </c>
      <c r="AN13" s="52">
        <f t="shared" ref="AN13:AN28" si="11">F13-E13</f>
        <v>3010</v>
      </c>
      <c r="AO13" s="52">
        <f t="shared" ref="AO13:AO28" si="12">G13-F13</f>
        <v>3286</v>
      </c>
      <c r="AP13" s="52">
        <v>3701</v>
      </c>
      <c r="AQ13" s="52">
        <f t="shared" ref="AQ13:AQ28" si="13">I13-H13</f>
        <v>3785</v>
      </c>
      <c r="AR13" s="52">
        <f t="shared" ref="AR13:AR28" si="14">J13-I13</f>
        <v>3534</v>
      </c>
      <c r="AS13" s="52">
        <f t="shared" ref="AS13:AS28" si="15">K13-J13</f>
        <v>3784</v>
      </c>
      <c r="AT13" s="52">
        <v>3501</v>
      </c>
      <c r="AU13" s="52">
        <f t="shared" ref="AU13:AU28" si="16">M13-L13</f>
        <v>3601</v>
      </c>
      <c r="AV13" s="52">
        <f t="shared" ref="AV13:AV28" si="17">N13-M13</f>
        <v>4032</v>
      </c>
      <c r="AW13" s="52">
        <f t="shared" ref="AW13:AW28" si="18">O13-N13</f>
        <v>3425</v>
      </c>
      <c r="AX13" s="52">
        <v>3719</v>
      </c>
      <c r="AY13" s="52">
        <f t="shared" ref="AY13:AY28" si="19">Q13-P13</f>
        <v>3698</v>
      </c>
      <c r="AZ13" s="52">
        <f t="shared" ref="AZ13:AZ28" si="20">R13-Q13</f>
        <v>3716</v>
      </c>
      <c r="BA13" s="52">
        <f t="shared" ref="BA13:BA28" si="21">S13-R13</f>
        <v>3670</v>
      </c>
      <c r="BB13" s="52">
        <f t="shared" ref="BB13:BB28" si="22">T13</f>
        <v>4635</v>
      </c>
      <c r="BC13" s="52">
        <f t="shared" ref="BC13:BC28" si="23">U13-T13</f>
        <v>2813</v>
      </c>
      <c r="BD13" s="52">
        <f t="shared" ref="BD13:BD20" si="24">V13-U13</f>
        <v>3586</v>
      </c>
      <c r="BE13" s="52">
        <f t="shared" ref="BE13:BE31" si="25">W13-V13</f>
        <v>3496</v>
      </c>
      <c r="BF13" s="52">
        <f t="shared" ref="BF13:BF31" si="26">X13</f>
        <v>3729</v>
      </c>
      <c r="BG13" s="52">
        <f t="shared" ref="BG13:BG31" si="27">Y13-X13</f>
        <v>4327</v>
      </c>
      <c r="BH13" s="52">
        <f t="shared" ref="BH13:BH31" si="28">Z13-Y13</f>
        <v>4418</v>
      </c>
      <c r="BI13" s="52">
        <f t="shared" ref="BI13:BI31" si="29">AA13-Z13</f>
        <v>4333</v>
      </c>
      <c r="BJ13" s="52">
        <f t="shared" ref="BJ13:BJ31" si="30">AB13</f>
        <v>3207</v>
      </c>
      <c r="BK13" s="52">
        <f t="shared" ref="BK13:BK31" si="31">AC13-AB13</f>
        <v>4313</v>
      </c>
      <c r="BL13" s="52">
        <f t="shared" ref="BL13:BL31" si="32">AD13-AC13</f>
        <v>3864</v>
      </c>
      <c r="BM13" s="52">
        <f t="shared" ref="BM13:BM31" si="33">AE13-AD13</f>
        <v>4884</v>
      </c>
      <c r="BN13" s="52">
        <f t="shared" ref="BN13:BN31" si="34">AF13</f>
        <v>5847</v>
      </c>
      <c r="BO13" s="52">
        <f t="shared" ref="BO13:BO31" si="35">AG13-AF13</f>
        <v>5748</v>
      </c>
      <c r="BP13" s="52">
        <f t="shared" ref="BP13:BP31" si="36">AH13-AG13</f>
        <v>5844</v>
      </c>
      <c r="BQ13" s="52">
        <f t="shared" ref="BQ13:BQ31" si="37">AI13-AH13</f>
        <v>6277</v>
      </c>
      <c r="BR13" s="52">
        <f t="shared" ref="BR13:BR31" si="38">AJ13</f>
        <v>6970</v>
      </c>
      <c r="BV13" s="50"/>
      <c r="BY13" s="50"/>
      <c r="CA13" s="50"/>
    </row>
    <row r="14" spans="2:79" ht="12" customHeight="1" x14ac:dyDescent="0.2">
      <c r="B14" s="51"/>
      <c r="C14" s="67" t="s">
        <v>130</v>
      </c>
      <c r="D14" s="52">
        <v>0</v>
      </c>
      <c r="E14" s="52"/>
      <c r="F14" s="52">
        <v>0</v>
      </c>
      <c r="G14" s="52">
        <v>0</v>
      </c>
      <c r="H14" s="52"/>
      <c r="I14" s="52">
        <v>0</v>
      </c>
      <c r="J14" s="52"/>
      <c r="K14" s="52">
        <v>0</v>
      </c>
      <c r="L14" s="52"/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3918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/>
      <c r="AE14" s="52">
        <v>0</v>
      </c>
      <c r="AF14" s="52"/>
      <c r="AG14" s="52"/>
      <c r="AH14" s="52"/>
      <c r="AI14" s="52">
        <v>1823</v>
      </c>
      <c r="AJ14" s="52"/>
      <c r="AL14" s="52">
        <v>0</v>
      </c>
      <c r="AM14" s="52">
        <f t="shared" si="10"/>
        <v>0</v>
      </c>
      <c r="AN14" s="52">
        <f t="shared" si="11"/>
        <v>0</v>
      </c>
      <c r="AO14" s="52">
        <f t="shared" si="12"/>
        <v>0</v>
      </c>
      <c r="AP14" s="52"/>
      <c r="AQ14" s="52">
        <f t="shared" si="13"/>
        <v>0</v>
      </c>
      <c r="AR14" s="52">
        <f t="shared" si="14"/>
        <v>0</v>
      </c>
      <c r="AS14" s="52">
        <f t="shared" si="15"/>
        <v>0</v>
      </c>
      <c r="AT14" s="52"/>
      <c r="AU14" s="52">
        <f t="shared" si="16"/>
        <v>0</v>
      </c>
      <c r="AV14" s="52">
        <f t="shared" si="17"/>
        <v>0</v>
      </c>
      <c r="AW14" s="52">
        <f t="shared" si="18"/>
        <v>0</v>
      </c>
      <c r="AX14" s="52">
        <v>0</v>
      </c>
      <c r="AY14" s="52">
        <f t="shared" si="19"/>
        <v>0</v>
      </c>
      <c r="AZ14" s="52">
        <f t="shared" si="20"/>
        <v>0</v>
      </c>
      <c r="BA14" s="52">
        <f t="shared" si="21"/>
        <v>0</v>
      </c>
      <c r="BB14" s="52">
        <f t="shared" si="22"/>
        <v>0</v>
      </c>
      <c r="BC14" s="52">
        <f t="shared" si="23"/>
        <v>0</v>
      </c>
      <c r="BD14" s="52">
        <f t="shared" si="24"/>
        <v>0</v>
      </c>
      <c r="BE14" s="52">
        <f t="shared" si="25"/>
        <v>3918</v>
      </c>
      <c r="BF14" s="52">
        <f t="shared" si="26"/>
        <v>0</v>
      </c>
      <c r="BG14" s="52">
        <f t="shared" si="27"/>
        <v>0</v>
      </c>
      <c r="BH14" s="52">
        <f t="shared" si="28"/>
        <v>0</v>
      </c>
      <c r="BI14" s="52">
        <f t="shared" si="29"/>
        <v>0</v>
      </c>
      <c r="BJ14" s="52">
        <f t="shared" si="30"/>
        <v>0</v>
      </c>
      <c r="BK14" s="52">
        <f t="shared" si="31"/>
        <v>0</v>
      </c>
      <c r="BL14" s="52">
        <f t="shared" si="32"/>
        <v>0</v>
      </c>
      <c r="BM14" s="52">
        <f t="shared" si="33"/>
        <v>0</v>
      </c>
      <c r="BN14" s="52">
        <f t="shared" si="34"/>
        <v>0</v>
      </c>
      <c r="BO14" s="52">
        <f t="shared" si="35"/>
        <v>0</v>
      </c>
      <c r="BP14" s="52">
        <f t="shared" si="36"/>
        <v>0</v>
      </c>
      <c r="BQ14" s="52">
        <f t="shared" si="37"/>
        <v>1823</v>
      </c>
      <c r="BR14" s="52">
        <f t="shared" si="38"/>
        <v>0</v>
      </c>
    </row>
    <row r="15" spans="2:79" ht="12" customHeight="1" x14ac:dyDescent="0.2">
      <c r="B15" s="51"/>
      <c r="C15" s="67" t="s">
        <v>131</v>
      </c>
      <c r="D15" s="52">
        <v>7341</v>
      </c>
      <c r="E15" s="52">
        <v>14861</v>
      </c>
      <c r="F15" s="52">
        <v>22411</v>
      </c>
      <c r="G15" s="52">
        <v>29971</v>
      </c>
      <c r="H15" s="52">
        <v>7995</v>
      </c>
      <c r="I15" s="52">
        <v>17185</v>
      </c>
      <c r="J15" s="52">
        <v>26012</v>
      </c>
      <c r="K15" s="52">
        <v>35067</v>
      </c>
      <c r="L15" s="52">
        <v>9288</v>
      </c>
      <c r="M15" s="52">
        <v>18668</v>
      </c>
      <c r="N15" s="52">
        <v>28355</v>
      </c>
      <c r="O15" s="52">
        <v>37950</v>
      </c>
      <c r="P15" s="52">
        <v>9850</v>
      </c>
      <c r="Q15" s="52">
        <v>19887</v>
      </c>
      <c r="R15" s="52">
        <v>30334</v>
      </c>
      <c r="S15" s="52">
        <v>40969</v>
      </c>
      <c r="T15" s="52">
        <v>9506</v>
      </c>
      <c r="U15" s="52">
        <v>20856</v>
      </c>
      <c r="V15" s="52">
        <v>30849</v>
      </c>
      <c r="W15" s="52">
        <v>41197</v>
      </c>
      <c r="X15" s="52">
        <v>10148</v>
      </c>
      <c r="Y15" s="52">
        <v>19887</v>
      </c>
      <c r="Z15" s="52">
        <v>30037</v>
      </c>
      <c r="AA15" s="52">
        <v>39607</v>
      </c>
      <c r="AB15" s="52">
        <v>10086</v>
      </c>
      <c r="AC15" s="52">
        <v>20111</v>
      </c>
      <c r="AD15" s="52">
        <v>30316</v>
      </c>
      <c r="AE15" s="52">
        <v>30172</v>
      </c>
      <c r="AF15" s="52">
        <v>8604</v>
      </c>
      <c r="AG15" s="52">
        <v>16475</v>
      </c>
      <c r="AH15" s="52">
        <v>25401</v>
      </c>
      <c r="AI15" s="52">
        <v>34771</v>
      </c>
      <c r="AJ15" s="52">
        <v>8428</v>
      </c>
      <c r="AL15" s="52">
        <v>7341</v>
      </c>
      <c r="AM15" s="52">
        <f t="shared" si="10"/>
        <v>7520</v>
      </c>
      <c r="AN15" s="52">
        <f t="shared" si="11"/>
        <v>7550</v>
      </c>
      <c r="AO15" s="52">
        <f t="shared" si="12"/>
        <v>7560</v>
      </c>
      <c r="AP15" s="52">
        <v>7995</v>
      </c>
      <c r="AQ15" s="52">
        <f t="shared" si="13"/>
        <v>9190</v>
      </c>
      <c r="AR15" s="52">
        <f t="shared" si="14"/>
        <v>8827</v>
      </c>
      <c r="AS15" s="52">
        <f t="shared" si="15"/>
        <v>9055</v>
      </c>
      <c r="AT15" s="52">
        <v>9288</v>
      </c>
      <c r="AU15" s="52">
        <f t="shared" si="16"/>
        <v>9380</v>
      </c>
      <c r="AV15" s="52">
        <f t="shared" si="17"/>
        <v>9687</v>
      </c>
      <c r="AW15" s="52">
        <f t="shared" si="18"/>
        <v>9595</v>
      </c>
      <c r="AX15" s="52">
        <v>9850</v>
      </c>
      <c r="AY15" s="52">
        <f t="shared" si="19"/>
        <v>10037</v>
      </c>
      <c r="AZ15" s="52">
        <f t="shared" si="20"/>
        <v>10447</v>
      </c>
      <c r="BA15" s="52">
        <f t="shared" si="21"/>
        <v>10635</v>
      </c>
      <c r="BB15" s="52">
        <f t="shared" si="22"/>
        <v>9506</v>
      </c>
      <c r="BC15" s="52">
        <f t="shared" si="23"/>
        <v>11350</v>
      </c>
      <c r="BD15" s="52">
        <f t="shared" si="24"/>
        <v>9993</v>
      </c>
      <c r="BE15" s="52">
        <f t="shared" si="25"/>
        <v>10348</v>
      </c>
      <c r="BF15" s="52">
        <f t="shared" si="26"/>
        <v>10148</v>
      </c>
      <c r="BG15" s="52">
        <f t="shared" si="27"/>
        <v>9739</v>
      </c>
      <c r="BH15" s="52">
        <f t="shared" si="28"/>
        <v>10150</v>
      </c>
      <c r="BI15" s="52">
        <f t="shared" si="29"/>
        <v>9570</v>
      </c>
      <c r="BJ15" s="52">
        <f t="shared" si="30"/>
        <v>10086</v>
      </c>
      <c r="BK15" s="52">
        <f t="shared" si="31"/>
        <v>10025</v>
      </c>
      <c r="BL15" s="52">
        <f t="shared" si="32"/>
        <v>10205</v>
      </c>
      <c r="BM15" s="52">
        <f t="shared" si="33"/>
        <v>-144</v>
      </c>
      <c r="BN15" s="52">
        <f t="shared" si="34"/>
        <v>8604</v>
      </c>
      <c r="BO15" s="52">
        <f t="shared" si="35"/>
        <v>7871</v>
      </c>
      <c r="BP15" s="52">
        <f t="shared" si="36"/>
        <v>8926</v>
      </c>
      <c r="BQ15" s="52">
        <f t="shared" si="37"/>
        <v>9370</v>
      </c>
      <c r="BR15" s="52">
        <f t="shared" si="38"/>
        <v>8428</v>
      </c>
    </row>
    <row r="16" spans="2:79" ht="12" customHeight="1" x14ac:dyDescent="0.2">
      <c r="B16" s="51"/>
      <c r="C16" s="67" t="s">
        <v>86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>
        <v>0</v>
      </c>
      <c r="R16" s="52"/>
      <c r="S16" s="52"/>
      <c r="T16" s="52"/>
      <c r="U16" s="52"/>
      <c r="V16" s="52"/>
      <c r="W16" s="52"/>
      <c r="X16" s="52"/>
      <c r="Y16" s="52"/>
      <c r="Z16" s="52">
        <v>0</v>
      </c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L16" s="52"/>
      <c r="AM16" s="52">
        <f t="shared" si="10"/>
        <v>0</v>
      </c>
      <c r="AN16" s="52">
        <f t="shared" si="11"/>
        <v>0</v>
      </c>
      <c r="AO16" s="52">
        <f t="shared" si="12"/>
        <v>0</v>
      </c>
      <c r="AP16" s="52"/>
      <c r="AQ16" s="52">
        <f t="shared" si="13"/>
        <v>0</v>
      </c>
      <c r="AR16" s="52">
        <f t="shared" si="14"/>
        <v>0</v>
      </c>
      <c r="AS16" s="52">
        <f t="shared" si="15"/>
        <v>0</v>
      </c>
      <c r="AT16" s="52"/>
      <c r="AU16" s="52">
        <f t="shared" si="16"/>
        <v>0</v>
      </c>
      <c r="AV16" s="52">
        <f t="shared" si="17"/>
        <v>0</v>
      </c>
      <c r="AW16" s="52">
        <f t="shared" si="18"/>
        <v>0</v>
      </c>
      <c r="AX16" s="52"/>
      <c r="AY16" s="52">
        <f t="shared" si="19"/>
        <v>0</v>
      </c>
      <c r="AZ16" s="52">
        <f t="shared" si="20"/>
        <v>0</v>
      </c>
      <c r="BA16" s="52">
        <f t="shared" si="21"/>
        <v>0</v>
      </c>
      <c r="BB16" s="52">
        <f t="shared" si="22"/>
        <v>0</v>
      </c>
      <c r="BC16" s="52">
        <f t="shared" si="23"/>
        <v>0</v>
      </c>
      <c r="BD16" s="52">
        <f t="shared" si="24"/>
        <v>0</v>
      </c>
      <c r="BE16" s="52">
        <f t="shared" si="25"/>
        <v>0</v>
      </c>
      <c r="BF16" s="52">
        <f t="shared" si="26"/>
        <v>0</v>
      </c>
      <c r="BG16" s="52">
        <f t="shared" si="27"/>
        <v>0</v>
      </c>
      <c r="BH16" s="52">
        <f t="shared" si="28"/>
        <v>0</v>
      </c>
      <c r="BI16" s="52">
        <f t="shared" si="29"/>
        <v>0</v>
      </c>
      <c r="BJ16" s="52">
        <f t="shared" si="30"/>
        <v>0</v>
      </c>
      <c r="BK16" s="52">
        <f t="shared" si="31"/>
        <v>0</v>
      </c>
      <c r="BL16" s="52">
        <f t="shared" si="32"/>
        <v>0</v>
      </c>
      <c r="BM16" s="52">
        <f t="shared" si="33"/>
        <v>0</v>
      </c>
      <c r="BN16" s="52">
        <f t="shared" si="34"/>
        <v>0</v>
      </c>
      <c r="BO16" s="52">
        <f t="shared" si="35"/>
        <v>0</v>
      </c>
      <c r="BP16" s="52">
        <f t="shared" si="36"/>
        <v>0</v>
      </c>
      <c r="BQ16" s="52">
        <f t="shared" si="37"/>
        <v>0</v>
      </c>
      <c r="BR16" s="52">
        <f t="shared" si="38"/>
        <v>0</v>
      </c>
    </row>
    <row r="17" spans="2:70" ht="12" customHeight="1" x14ac:dyDescent="0.2">
      <c r="B17" s="51"/>
      <c r="C17" s="67" t="s">
        <v>132</v>
      </c>
      <c r="D17" s="52"/>
      <c r="E17" s="52">
        <v>110</v>
      </c>
      <c r="F17" s="52">
        <v>96</v>
      </c>
      <c r="G17" s="52">
        <v>-120</v>
      </c>
      <c r="H17" s="52"/>
      <c r="I17" s="52">
        <v>-50</v>
      </c>
      <c r="J17" s="52">
        <v>-454</v>
      </c>
      <c r="K17" s="52">
        <v>-1945</v>
      </c>
      <c r="L17" s="52">
        <v>-917</v>
      </c>
      <c r="M17" s="52">
        <v>-112</v>
      </c>
      <c r="N17" s="52">
        <v>-2363</v>
      </c>
      <c r="O17" s="52">
        <v>-2363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1246</v>
      </c>
      <c r="X17" s="52">
        <v>0</v>
      </c>
      <c r="Y17" s="52">
        <v>0</v>
      </c>
      <c r="Z17" s="52">
        <v>0</v>
      </c>
      <c r="AA17" s="52">
        <v>3408</v>
      </c>
      <c r="AB17" s="52">
        <v>0</v>
      </c>
      <c r="AC17" s="52">
        <v>0</v>
      </c>
      <c r="AD17" s="52">
        <v>160</v>
      </c>
      <c r="AE17" s="52">
        <v>453</v>
      </c>
      <c r="AF17" s="52"/>
      <c r="AG17" s="52">
        <v>396</v>
      </c>
      <c r="AH17" s="52">
        <v>575</v>
      </c>
      <c r="AI17" s="52">
        <v>582</v>
      </c>
      <c r="AJ17" s="52"/>
      <c r="AL17" s="52"/>
      <c r="AM17" s="52">
        <f t="shared" si="10"/>
        <v>110</v>
      </c>
      <c r="AN17" s="52">
        <f t="shared" si="11"/>
        <v>-14</v>
      </c>
      <c r="AO17" s="52">
        <f t="shared" si="12"/>
        <v>-216</v>
      </c>
      <c r="AP17" s="52"/>
      <c r="AQ17" s="52">
        <f t="shared" si="13"/>
        <v>-50</v>
      </c>
      <c r="AR17" s="52">
        <f t="shared" si="14"/>
        <v>-404</v>
      </c>
      <c r="AS17" s="52">
        <f t="shared" si="15"/>
        <v>-1491</v>
      </c>
      <c r="AT17" s="52">
        <v>-917</v>
      </c>
      <c r="AU17" s="52">
        <f t="shared" si="16"/>
        <v>805</v>
      </c>
      <c r="AV17" s="52">
        <f t="shared" si="17"/>
        <v>-2251</v>
      </c>
      <c r="AW17" s="52">
        <f t="shared" si="18"/>
        <v>0</v>
      </c>
      <c r="AX17" s="52">
        <v>0</v>
      </c>
      <c r="AY17" s="52">
        <f t="shared" si="19"/>
        <v>0</v>
      </c>
      <c r="AZ17" s="52">
        <f t="shared" si="20"/>
        <v>0</v>
      </c>
      <c r="BA17" s="52">
        <f t="shared" si="21"/>
        <v>0</v>
      </c>
      <c r="BB17" s="52">
        <f t="shared" si="22"/>
        <v>0</v>
      </c>
      <c r="BC17" s="52">
        <f t="shared" si="23"/>
        <v>0</v>
      </c>
      <c r="BD17" s="52">
        <f t="shared" si="24"/>
        <v>0</v>
      </c>
      <c r="BE17" s="52">
        <f t="shared" si="25"/>
        <v>1246</v>
      </c>
      <c r="BF17" s="52">
        <f t="shared" si="26"/>
        <v>0</v>
      </c>
      <c r="BG17" s="52">
        <f t="shared" si="27"/>
        <v>0</v>
      </c>
      <c r="BH17" s="52">
        <f t="shared" si="28"/>
        <v>0</v>
      </c>
      <c r="BI17" s="52">
        <f t="shared" si="29"/>
        <v>3408</v>
      </c>
      <c r="BJ17" s="52">
        <f t="shared" si="30"/>
        <v>0</v>
      </c>
      <c r="BK17" s="52">
        <f t="shared" si="31"/>
        <v>0</v>
      </c>
      <c r="BL17" s="52">
        <f t="shared" si="32"/>
        <v>160</v>
      </c>
      <c r="BM17" s="52">
        <f t="shared" si="33"/>
        <v>293</v>
      </c>
      <c r="BN17" s="52">
        <f t="shared" si="34"/>
        <v>0</v>
      </c>
      <c r="BO17" s="52">
        <f t="shared" si="35"/>
        <v>396</v>
      </c>
      <c r="BP17" s="52">
        <f t="shared" si="36"/>
        <v>179</v>
      </c>
      <c r="BQ17" s="52">
        <f t="shared" si="37"/>
        <v>7</v>
      </c>
      <c r="BR17" s="52">
        <f t="shared" si="38"/>
        <v>0</v>
      </c>
    </row>
    <row r="18" spans="2:70" ht="12" customHeight="1" x14ac:dyDescent="0.2">
      <c r="B18" s="51"/>
      <c r="C18" s="67" t="s">
        <v>351</v>
      </c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>
        <v>10872</v>
      </c>
      <c r="AF18" s="52">
        <v>2593</v>
      </c>
      <c r="AG18" s="52">
        <v>5829</v>
      </c>
      <c r="AH18" s="52">
        <v>8629</v>
      </c>
      <c r="AI18" s="52">
        <v>11177</v>
      </c>
      <c r="AJ18" s="52">
        <v>3080</v>
      </c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>
        <f t="shared" si="34"/>
        <v>2593</v>
      </c>
      <c r="BO18" s="52">
        <f t="shared" si="35"/>
        <v>3236</v>
      </c>
      <c r="BP18" s="52">
        <f t="shared" si="36"/>
        <v>2800</v>
      </c>
      <c r="BQ18" s="52">
        <f t="shared" si="37"/>
        <v>2548</v>
      </c>
      <c r="BR18" s="52">
        <f t="shared" si="38"/>
        <v>3080</v>
      </c>
    </row>
    <row r="19" spans="2:70" ht="11.25" customHeight="1" x14ac:dyDescent="0.2">
      <c r="B19" s="51"/>
      <c r="C19" s="67" t="s">
        <v>133</v>
      </c>
      <c r="D19" s="52">
        <v>-258</v>
      </c>
      <c r="E19" s="52">
        <v>-641</v>
      </c>
      <c r="F19" s="52">
        <v>-736</v>
      </c>
      <c r="G19" s="52">
        <v>-870</v>
      </c>
      <c r="H19" s="52">
        <v>-408</v>
      </c>
      <c r="I19" s="52">
        <v>-628</v>
      </c>
      <c r="J19" s="52">
        <v>-703</v>
      </c>
      <c r="K19" s="52">
        <v>-1530</v>
      </c>
      <c r="L19" s="52">
        <v>0</v>
      </c>
      <c r="M19" s="52">
        <v>-1038</v>
      </c>
      <c r="N19" s="52">
        <v>-1845</v>
      </c>
      <c r="O19" s="52">
        <v>-2025</v>
      </c>
      <c r="P19" s="52">
        <v>-36621</v>
      </c>
      <c r="Q19" s="52">
        <v>-36658</v>
      </c>
      <c r="R19" s="52">
        <v>-36859</v>
      </c>
      <c r="S19" s="52">
        <v>-37017</v>
      </c>
      <c r="T19" s="52">
        <v>-525</v>
      </c>
      <c r="U19" s="52">
        <v>-670</v>
      </c>
      <c r="V19" s="52">
        <v>-845</v>
      </c>
      <c r="W19" s="52">
        <v>-2881</v>
      </c>
      <c r="X19" s="52">
        <v>-53</v>
      </c>
      <c r="Y19" s="52">
        <v>-403</v>
      </c>
      <c r="Z19" s="52">
        <v>-1715</v>
      </c>
      <c r="AA19" s="52">
        <v>-1365</v>
      </c>
      <c r="AB19" s="52">
        <v>-10</v>
      </c>
      <c r="AC19" s="52">
        <v>-374</v>
      </c>
      <c r="AD19" s="52">
        <v>-625</v>
      </c>
      <c r="AE19" s="52">
        <v>-867</v>
      </c>
      <c r="AF19" s="52">
        <v>-310</v>
      </c>
      <c r="AG19" s="52">
        <v>-3</v>
      </c>
      <c r="AH19" s="52">
        <v>-685</v>
      </c>
      <c r="AI19" s="52">
        <v>-16681</v>
      </c>
      <c r="AJ19" s="52">
        <v>-166</v>
      </c>
      <c r="AL19" s="52">
        <v>-258</v>
      </c>
      <c r="AM19" s="52">
        <f t="shared" si="10"/>
        <v>-383</v>
      </c>
      <c r="AN19" s="52">
        <f t="shared" si="11"/>
        <v>-95</v>
      </c>
      <c r="AO19" s="52">
        <f t="shared" si="12"/>
        <v>-134</v>
      </c>
      <c r="AP19" s="52">
        <v>-408</v>
      </c>
      <c r="AQ19" s="52">
        <f t="shared" si="13"/>
        <v>-220</v>
      </c>
      <c r="AR19" s="52">
        <f t="shared" si="14"/>
        <v>-75</v>
      </c>
      <c r="AS19" s="52">
        <f t="shared" si="15"/>
        <v>-827</v>
      </c>
      <c r="AT19" s="52">
        <v>0</v>
      </c>
      <c r="AU19" s="52">
        <f t="shared" si="16"/>
        <v>-1038</v>
      </c>
      <c r="AV19" s="52">
        <f t="shared" si="17"/>
        <v>-807</v>
      </c>
      <c r="AW19" s="52">
        <f t="shared" si="18"/>
        <v>-180</v>
      </c>
      <c r="AX19" s="52">
        <v>-36621</v>
      </c>
      <c r="AY19" s="52">
        <f t="shared" si="19"/>
        <v>-37</v>
      </c>
      <c r="AZ19" s="52">
        <f t="shared" si="20"/>
        <v>-201</v>
      </c>
      <c r="BA19" s="52">
        <f t="shared" si="21"/>
        <v>-158</v>
      </c>
      <c r="BB19" s="52">
        <f t="shared" si="22"/>
        <v>-525</v>
      </c>
      <c r="BC19" s="52">
        <f t="shared" si="23"/>
        <v>-145</v>
      </c>
      <c r="BD19" s="52">
        <f t="shared" si="24"/>
        <v>-175</v>
      </c>
      <c r="BE19" s="52">
        <f t="shared" si="25"/>
        <v>-2036</v>
      </c>
      <c r="BF19" s="52">
        <f t="shared" si="26"/>
        <v>-53</v>
      </c>
      <c r="BG19" s="52">
        <f t="shared" si="27"/>
        <v>-350</v>
      </c>
      <c r="BH19" s="52">
        <f t="shared" si="28"/>
        <v>-1312</v>
      </c>
      <c r="BI19" s="52">
        <f t="shared" si="29"/>
        <v>350</v>
      </c>
      <c r="BJ19" s="52">
        <f t="shared" si="30"/>
        <v>-10</v>
      </c>
      <c r="BK19" s="52">
        <f t="shared" si="31"/>
        <v>-364</v>
      </c>
      <c r="BL19" s="52">
        <f t="shared" si="32"/>
        <v>-251</v>
      </c>
      <c r="BM19" s="52">
        <f t="shared" si="33"/>
        <v>-242</v>
      </c>
      <c r="BN19" s="52">
        <f t="shared" si="34"/>
        <v>-310</v>
      </c>
      <c r="BO19" s="52">
        <f t="shared" si="35"/>
        <v>307</v>
      </c>
      <c r="BP19" s="52">
        <f t="shared" si="36"/>
        <v>-682</v>
      </c>
      <c r="BQ19" s="52">
        <f t="shared" si="37"/>
        <v>-15996</v>
      </c>
      <c r="BR19" s="52">
        <f t="shared" si="38"/>
        <v>-166</v>
      </c>
    </row>
    <row r="20" spans="2:70" ht="12" customHeight="1" x14ac:dyDescent="0.2">
      <c r="B20" s="51"/>
      <c r="C20" s="67" t="s">
        <v>134</v>
      </c>
      <c r="D20" s="52"/>
      <c r="E20" s="52">
        <v>0</v>
      </c>
      <c r="F20" s="52">
        <v>-22</v>
      </c>
      <c r="G20" s="52">
        <v>0</v>
      </c>
      <c r="H20" s="52"/>
      <c r="I20" s="52">
        <v>0</v>
      </c>
      <c r="J20" s="52"/>
      <c r="K20" s="52">
        <v>0</v>
      </c>
      <c r="L20" s="52"/>
      <c r="M20" s="52">
        <v>0</v>
      </c>
      <c r="N20" s="52"/>
      <c r="O20" s="52">
        <v>537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-65</v>
      </c>
      <c r="V20" s="52">
        <v>-64</v>
      </c>
      <c r="W20" s="52"/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/>
      <c r="AE20" s="52"/>
      <c r="AF20" s="52"/>
      <c r="AG20" s="52"/>
      <c r="AH20" s="52"/>
      <c r="AI20" s="52"/>
      <c r="AJ20" s="52"/>
      <c r="AL20" s="52"/>
      <c r="AM20" s="52">
        <f t="shared" si="10"/>
        <v>0</v>
      </c>
      <c r="AN20" s="52">
        <f t="shared" si="11"/>
        <v>-22</v>
      </c>
      <c r="AO20" s="52">
        <f t="shared" si="12"/>
        <v>22</v>
      </c>
      <c r="AP20" s="52"/>
      <c r="AQ20" s="52">
        <f t="shared" si="13"/>
        <v>0</v>
      </c>
      <c r="AR20" s="52">
        <f t="shared" si="14"/>
        <v>0</v>
      </c>
      <c r="AS20" s="52">
        <f t="shared" si="15"/>
        <v>0</v>
      </c>
      <c r="AT20" s="52"/>
      <c r="AU20" s="52">
        <f t="shared" si="16"/>
        <v>0</v>
      </c>
      <c r="AV20" s="52">
        <f t="shared" si="17"/>
        <v>0</v>
      </c>
      <c r="AW20" s="52">
        <f t="shared" si="18"/>
        <v>537</v>
      </c>
      <c r="AX20" s="52">
        <v>0</v>
      </c>
      <c r="AY20" s="52">
        <f t="shared" si="19"/>
        <v>0</v>
      </c>
      <c r="AZ20" s="52">
        <f t="shared" si="20"/>
        <v>0</v>
      </c>
      <c r="BA20" s="52">
        <f t="shared" si="21"/>
        <v>0</v>
      </c>
      <c r="BB20" s="52">
        <f t="shared" si="22"/>
        <v>0</v>
      </c>
      <c r="BC20" s="52">
        <f t="shared" si="23"/>
        <v>-65</v>
      </c>
      <c r="BD20" s="52">
        <f t="shared" si="24"/>
        <v>1</v>
      </c>
      <c r="BE20" s="52">
        <f t="shared" si="25"/>
        <v>64</v>
      </c>
      <c r="BF20" s="52">
        <f t="shared" si="26"/>
        <v>0</v>
      </c>
      <c r="BG20" s="52">
        <f t="shared" si="27"/>
        <v>0</v>
      </c>
      <c r="BH20" s="52">
        <f t="shared" si="28"/>
        <v>0</v>
      </c>
      <c r="BI20" s="52">
        <f t="shared" si="29"/>
        <v>0</v>
      </c>
      <c r="BJ20" s="52">
        <f t="shared" si="30"/>
        <v>0</v>
      </c>
      <c r="BK20" s="52">
        <f t="shared" si="31"/>
        <v>0</v>
      </c>
      <c r="BL20" s="52">
        <f t="shared" si="32"/>
        <v>0</v>
      </c>
      <c r="BM20" s="52">
        <f t="shared" si="33"/>
        <v>0</v>
      </c>
      <c r="BN20" s="52">
        <f t="shared" si="34"/>
        <v>0</v>
      </c>
      <c r="BO20" s="52">
        <f t="shared" si="35"/>
        <v>0</v>
      </c>
      <c r="BP20" s="52">
        <f t="shared" si="36"/>
        <v>0</v>
      </c>
      <c r="BQ20" s="52">
        <f t="shared" si="37"/>
        <v>0</v>
      </c>
      <c r="BR20" s="52">
        <f t="shared" si="38"/>
        <v>0</v>
      </c>
    </row>
    <row r="21" spans="2:70" ht="12" customHeight="1" x14ac:dyDescent="0.2">
      <c r="B21" s="51"/>
      <c r="C21" s="46" t="s">
        <v>321</v>
      </c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>
        <v>10698</v>
      </c>
      <c r="X21" s="52">
        <v>0</v>
      </c>
      <c r="Y21" s="52"/>
      <c r="Z21" s="52"/>
      <c r="AA21" s="52"/>
      <c r="AB21" s="52"/>
      <c r="AC21" s="52"/>
      <c r="AD21" s="52"/>
      <c r="AE21" s="52">
        <v>3969</v>
      </c>
      <c r="AF21" s="52"/>
      <c r="AG21" s="52"/>
      <c r="AH21" s="52"/>
      <c r="AI21" s="52">
        <v>514</v>
      </c>
      <c r="AJ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>
        <f t="shared" si="25"/>
        <v>10698</v>
      </c>
      <c r="BF21" s="52">
        <f t="shared" si="26"/>
        <v>0</v>
      </c>
      <c r="BG21" s="52">
        <f t="shared" si="27"/>
        <v>0</v>
      </c>
      <c r="BH21" s="52">
        <f t="shared" si="28"/>
        <v>0</v>
      </c>
      <c r="BI21" s="52">
        <f t="shared" si="29"/>
        <v>0</v>
      </c>
      <c r="BJ21" s="52">
        <f t="shared" si="30"/>
        <v>0</v>
      </c>
      <c r="BK21" s="52">
        <f t="shared" si="31"/>
        <v>0</v>
      </c>
      <c r="BL21" s="52">
        <f t="shared" si="32"/>
        <v>0</v>
      </c>
      <c r="BM21" s="52">
        <f t="shared" si="33"/>
        <v>3969</v>
      </c>
      <c r="BN21" s="52">
        <f t="shared" si="34"/>
        <v>0</v>
      </c>
      <c r="BO21" s="52">
        <f t="shared" si="35"/>
        <v>0</v>
      </c>
      <c r="BP21" s="52">
        <f t="shared" si="36"/>
        <v>0</v>
      </c>
      <c r="BQ21" s="52">
        <f t="shared" si="37"/>
        <v>514</v>
      </c>
      <c r="BR21" s="52">
        <f t="shared" si="38"/>
        <v>0</v>
      </c>
    </row>
    <row r="22" spans="2:70" ht="12" customHeight="1" x14ac:dyDescent="0.2">
      <c r="B22" s="51"/>
      <c r="C22" s="67" t="s">
        <v>135</v>
      </c>
      <c r="D22" s="52"/>
      <c r="E22" s="52">
        <v>0</v>
      </c>
      <c r="F22" s="52"/>
      <c r="G22" s="52">
        <v>-40</v>
      </c>
      <c r="H22" s="52"/>
      <c r="I22" s="52">
        <v>0</v>
      </c>
      <c r="J22" s="52"/>
      <c r="K22" s="52">
        <v>-105</v>
      </c>
      <c r="L22" s="52">
        <v>0</v>
      </c>
      <c r="M22" s="52">
        <v>0</v>
      </c>
      <c r="N22" s="52">
        <v>0</v>
      </c>
      <c r="O22" s="52">
        <v>81</v>
      </c>
      <c r="P22" s="52">
        <v>0</v>
      </c>
      <c r="Q22" s="52">
        <v>0</v>
      </c>
      <c r="R22" s="52">
        <v>0</v>
      </c>
      <c r="S22" s="52">
        <v>-257</v>
      </c>
      <c r="T22" s="52">
        <v>0</v>
      </c>
      <c r="U22" s="52">
        <v>0</v>
      </c>
      <c r="V22" s="52">
        <v>0</v>
      </c>
      <c r="W22" s="52">
        <v>-325</v>
      </c>
      <c r="X22" s="52">
        <v>-1031</v>
      </c>
      <c r="Y22" s="52">
        <v>0</v>
      </c>
      <c r="Z22" s="52">
        <v>0</v>
      </c>
      <c r="AA22" s="52">
        <v>-57</v>
      </c>
      <c r="AB22" s="52">
        <v>0</v>
      </c>
      <c r="AC22" s="52">
        <v>0</v>
      </c>
      <c r="AD22" s="52"/>
      <c r="AE22" s="52">
        <v>-716</v>
      </c>
      <c r="AF22" s="52"/>
      <c r="AG22" s="52"/>
      <c r="AH22" s="52">
        <v>-35</v>
      </c>
      <c r="AI22" s="52">
        <v>-78</v>
      </c>
      <c r="AJ22" s="52"/>
      <c r="AL22" s="52"/>
      <c r="AM22" s="52">
        <f t="shared" si="10"/>
        <v>0</v>
      </c>
      <c r="AN22" s="52">
        <f t="shared" si="11"/>
        <v>0</v>
      </c>
      <c r="AO22" s="52">
        <f t="shared" si="12"/>
        <v>-40</v>
      </c>
      <c r="AP22" s="52"/>
      <c r="AQ22" s="52">
        <f t="shared" si="13"/>
        <v>0</v>
      </c>
      <c r="AR22" s="52">
        <f t="shared" si="14"/>
        <v>0</v>
      </c>
      <c r="AS22" s="52">
        <f t="shared" si="15"/>
        <v>-105</v>
      </c>
      <c r="AT22" s="52">
        <v>0</v>
      </c>
      <c r="AU22" s="52">
        <f t="shared" si="16"/>
        <v>0</v>
      </c>
      <c r="AV22" s="52">
        <f t="shared" si="17"/>
        <v>0</v>
      </c>
      <c r="AW22" s="52">
        <f t="shared" si="18"/>
        <v>81</v>
      </c>
      <c r="AX22" s="52">
        <v>0</v>
      </c>
      <c r="AY22" s="52">
        <f t="shared" si="19"/>
        <v>0</v>
      </c>
      <c r="AZ22" s="52">
        <f t="shared" si="20"/>
        <v>0</v>
      </c>
      <c r="BA22" s="52">
        <f t="shared" si="21"/>
        <v>-257</v>
      </c>
      <c r="BB22" s="52">
        <f t="shared" si="22"/>
        <v>0</v>
      </c>
      <c r="BC22" s="52">
        <f t="shared" si="23"/>
        <v>0</v>
      </c>
      <c r="BD22" s="52">
        <f t="shared" ref="BD22:BD29" si="39">V22-U22</f>
        <v>0</v>
      </c>
      <c r="BE22" s="52">
        <f t="shared" si="25"/>
        <v>-325</v>
      </c>
      <c r="BF22" s="52">
        <f t="shared" si="26"/>
        <v>-1031</v>
      </c>
      <c r="BG22" s="52">
        <f t="shared" si="27"/>
        <v>1031</v>
      </c>
      <c r="BH22" s="52">
        <f t="shared" si="28"/>
        <v>0</v>
      </c>
      <c r="BI22" s="52">
        <f t="shared" si="29"/>
        <v>-57</v>
      </c>
      <c r="BJ22" s="52">
        <f t="shared" si="30"/>
        <v>0</v>
      </c>
      <c r="BK22" s="52">
        <f t="shared" si="31"/>
        <v>0</v>
      </c>
      <c r="BL22" s="52">
        <f t="shared" si="32"/>
        <v>0</v>
      </c>
      <c r="BM22" s="52">
        <f t="shared" si="33"/>
        <v>-716</v>
      </c>
      <c r="BN22" s="52">
        <f t="shared" si="34"/>
        <v>0</v>
      </c>
      <c r="BO22" s="52">
        <f t="shared" si="35"/>
        <v>0</v>
      </c>
      <c r="BP22" s="52">
        <f t="shared" si="36"/>
        <v>-35</v>
      </c>
      <c r="BQ22" s="52">
        <f t="shared" si="37"/>
        <v>-43</v>
      </c>
      <c r="BR22" s="52">
        <f t="shared" si="38"/>
        <v>0</v>
      </c>
    </row>
    <row r="23" spans="2:70" ht="12" customHeight="1" x14ac:dyDescent="0.2">
      <c r="B23" s="51"/>
      <c r="C23" s="67" t="s">
        <v>136</v>
      </c>
      <c r="D23" s="52">
        <v>-337</v>
      </c>
      <c r="E23" s="52">
        <v>-431</v>
      </c>
      <c r="F23" s="52">
        <v>-537</v>
      </c>
      <c r="G23" s="52">
        <v>-509</v>
      </c>
      <c r="H23" s="52">
        <v>-232</v>
      </c>
      <c r="I23" s="52">
        <v>5</v>
      </c>
      <c r="J23" s="52">
        <v>118</v>
      </c>
      <c r="K23" s="52">
        <v>381</v>
      </c>
      <c r="L23" s="52">
        <v>-900</v>
      </c>
      <c r="M23" s="52">
        <v>-668</v>
      </c>
      <c r="N23" s="52">
        <v>-608</v>
      </c>
      <c r="O23" s="52">
        <v>177</v>
      </c>
      <c r="P23" s="52">
        <v>-32</v>
      </c>
      <c r="Q23" s="52">
        <v>857</v>
      </c>
      <c r="R23" s="52">
        <v>1328</v>
      </c>
      <c r="S23" s="52">
        <v>3678</v>
      </c>
      <c r="T23" s="52">
        <v>-417</v>
      </c>
      <c r="U23" s="52">
        <v>4</v>
      </c>
      <c r="V23" s="52">
        <v>-494</v>
      </c>
      <c r="W23" s="52">
        <v>-3493</v>
      </c>
      <c r="X23" s="52"/>
      <c r="Y23" s="52">
        <v>-1943</v>
      </c>
      <c r="Z23" s="52">
        <v>-992</v>
      </c>
      <c r="AA23" s="52">
        <v>-920</v>
      </c>
      <c r="AB23" s="52">
        <v>1136</v>
      </c>
      <c r="AC23" s="52">
        <v>2366</v>
      </c>
      <c r="AD23" s="52">
        <v>3984</v>
      </c>
      <c r="AE23" s="52">
        <v>2115</v>
      </c>
      <c r="AF23" s="52">
        <v>818</v>
      </c>
      <c r="AG23" s="52">
        <v>351</v>
      </c>
      <c r="AH23" s="52">
        <v>272</v>
      </c>
      <c r="AI23" s="52">
        <v>250</v>
      </c>
      <c r="AJ23" s="52">
        <v>50</v>
      </c>
      <c r="AL23" s="52">
        <v>-337</v>
      </c>
      <c r="AM23" s="52">
        <f t="shared" si="10"/>
        <v>-94</v>
      </c>
      <c r="AN23" s="52">
        <f t="shared" si="11"/>
        <v>-106</v>
      </c>
      <c r="AO23" s="52">
        <f t="shared" si="12"/>
        <v>28</v>
      </c>
      <c r="AP23" s="52">
        <v>-232</v>
      </c>
      <c r="AQ23" s="52">
        <f t="shared" si="13"/>
        <v>237</v>
      </c>
      <c r="AR23" s="52">
        <f t="shared" si="14"/>
        <v>113</v>
      </c>
      <c r="AS23" s="52">
        <f t="shared" si="15"/>
        <v>263</v>
      </c>
      <c r="AT23" s="52">
        <v>-900</v>
      </c>
      <c r="AU23" s="52">
        <f t="shared" si="16"/>
        <v>232</v>
      </c>
      <c r="AV23" s="52">
        <f t="shared" si="17"/>
        <v>60</v>
      </c>
      <c r="AW23" s="52">
        <f t="shared" si="18"/>
        <v>785</v>
      </c>
      <c r="AX23" s="52">
        <v>-32</v>
      </c>
      <c r="AY23" s="52">
        <f t="shared" si="19"/>
        <v>889</v>
      </c>
      <c r="AZ23" s="52">
        <f t="shared" si="20"/>
        <v>471</v>
      </c>
      <c r="BA23" s="52">
        <f t="shared" si="21"/>
        <v>2350</v>
      </c>
      <c r="BB23" s="52">
        <f t="shared" si="22"/>
        <v>-417</v>
      </c>
      <c r="BC23" s="52">
        <f t="shared" si="23"/>
        <v>421</v>
      </c>
      <c r="BD23" s="52">
        <f t="shared" si="39"/>
        <v>-498</v>
      </c>
      <c r="BE23" s="52">
        <f t="shared" si="25"/>
        <v>-2999</v>
      </c>
      <c r="BF23" s="52">
        <f t="shared" si="26"/>
        <v>0</v>
      </c>
      <c r="BG23" s="52">
        <f t="shared" si="27"/>
        <v>-1943</v>
      </c>
      <c r="BH23" s="52">
        <f t="shared" si="28"/>
        <v>951</v>
      </c>
      <c r="BI23" s="52">
        <f t="shared" si="29"/>
        <v>72</v>
      </c>
      <c r="BJ23" s="52">
        <f t="shared" si="30"/>
        <v>1136</v>
      </c>
      <c r="BK23" s="52">
        <f t="shared" si="31"/>
        <v>1230</v>
      </c>
      <c r="BL23" s="52">
        <f t="shared" si="32"/>
        <v>1618</v>
      </c>
      <c r="BM23" s="52">
        <f t="shared" si="33"/>
        <v>-1869</v>
      </c>
      <c r="BN23" s="52">
        <f t="shared" si="34"/>
        <v>818</v>
      </c>
      <c r="BO23" s="52">
        <f t="shared" si="35"/>
        <v>-467</v>
      </c>
      <c r="BP23" s="52">
        <f t="shared" si="36"/>
        <v>-79</v>
      </c>
      <c r="BQ23" s="52">
        <f t="shared" si="37"/>
        <v>-22</v>
      </c>
      <c r="BR23" s="52">
        <f t="shared" si="38"/>
        <v>50</v>
      </c>
    </row>
    <row r="24" spans="2:70" ht="12" customHeight="1" x14ac:dyDescent="0.2">
      <c r="B24" s="51"/>
      <c r="C24" s="67" t="s">
        <v>137</v>
      </c>
      <c r="D24" s="52">
        <v>1040</v>
      </c>
      <c r="E24" s="52">
        <v>2040</v>
      </c>
      <c r="F24" s="52">
        <v>2998</v>
      </c>
      <c r="G24" s="52">
        <v>4188</v>
      </c>
      <c r="H24" s="52">
        <v>1081</v>
      </c>
      <c r="I24" s="52">
        <v>2344</v>
      </c>
      <c r="J24" s="52">
        <v>3286</v>
      </c>
      <c r="K24" s="52">
        <v>4316</v>
      </c>
      <c r="L24" s="52">
        <v>920</v>
      </c>
      <c r="M24" s="52">
        <v>1323</v>
      </c>
      <c r="N24" s="52">
        <v>1837</v>
      </c>
      <c r="O24" s="52">
        <v>2191</v>
      </c>
      <c r="P24" s="52">
        <v>330</v>
      </c>
      <c r="Q24" s="52">
        <v>831</v>
      </c>
      <c r="R24" s="52">
        <v>1394</v>
      </c>
      <c r="S24" s="52">
        <v>2411</v>
      </c>
      <c r="T24" s="52">
        <v>1953</v>
      </c>
      <c r="U24" s="52">
        <v>5479</v>
      </c>
      <c r="V24" s="52">
        <v>10076</v>
      </c>
      <c r="W24" s="52">
        <v>14690</v>
      </c>
      <c r="X24" s="52">
        <v>3737</v>
      </c>
      <c r="Y24" s="52">
        <v>7592</v>
      </c>
      <c r="Z24" s="52">
        <v>12153</v>
      </c>
      <c r="AA24" s="52">
        <v>15676</v>
      </c>
      <c r="AB24" s="52">
        <v>2875</v>
      </c>
      <c r="AC24" s="52">
        <v>5002</v>
      </c>
      <c r="AD24" s="52">
        <v>6949</v>
      </c>
      <c r="AE24" s="52">
        <v>9877</v>
      </c>
      <c r="AF24" s="52">
        <v>1718</v>
      </c>
      <c r="AG24" s="52">
        <v>3422</v>
      </c>
      <c r="AH24" s="52">
        <v>5203</v>
      </c>
      <c r="AI24" s="52">
        <v>6580</v>
      </c>
      <c r="AJ24" s="52">
        <v>1190</v>
      </c>
      <c r="AL24" s="52">
        <v>1040</v>
      </c>
      <c r="AM24" s="52">
        <f t="shared" si="10"/>
        <v>1000</v>
      </c>
      <c r="AN24" s="52">
        <f t="shared" si="11"/>
        <v>958</v>
      </c>
      <c r="AO24" s="52">
        <f t="shared" si="12"/>
        <v>1190</v>
      </c>
      <c r="AP24" s="52">
        <v>1081</v>
      </c>
      <c r="AQ24" s="52">
        <f t="shared" si="13"/>
        <v>1263</v>
      </c>
      <c r="AR24" s="52">
        <f t="shared" si="14"/>
        <v>942</v>
      </c>
      <c r="AS24" s="52">
        <f t="shared" si="15"/>
        <v>1030</v>
      </c>
      <c r="AT24" s="52">
        <v>920</v>
      </c>
      <c r="AU24" s="52">
        <f t="shared" si="16"/>
        <v>403</v>
      </c>
      <c r="AV24" s="52">
        <f t="shared" si="17"/>
        <v>514</v>
      </c>
      <c r="AW24" s="52">
        <f t="shared" si="18"/>
        <v>354</v>
      </c>
      <c r="AX24" s="52">
        <v>330</v>
      </c>
      <c r="AY24" s="52">
        <f t="shared" si="19"/>
        <v>501</v>
      </c>
      <c r="AZ24" s="52">
        <f t="shared" si="20"/>
        <v>563</v>
      </c>
      <c r="BA24" s="52">
        <f t="shared" si="21"/>
        <v>1017</v>
      </c>
      <c r="BB24" s="52">
        <f t="shared" si="22"/>
        <v>1953</v>
      </c>
      <c r="BC24" s="52">
        <f t="shared" si="23"/>
        <v>3526</v>
      </c>
      <c r="BD24" s="52">
        <f t="shared" si="39"/>
        <v>4597</v>
      </c>
      <c r="BE24" s="52">
        <f t="shared" si="25"/>
        <v>4614</v>
      </c>
      <c r="BF24" s="52">
        <f t="shared" si="26"/>
        <v>3737</v>
      </c>
      <c r="BG24" s="52">
        <f t="shared" si="27"/>
        <v>3855</v>
      </c>
      <c r="BH24" s="52">
        <f t="shared" si="28"/>
        <v>4561</v>
      </c>
      <c r="BI24" s="52">
        <f t="shared" si="29"/>
        <v>3523</v>
      </c>
      <c r="BJ24" s="52">
        <f t="shared" si="30"/>
        <v>2875</v>
      </c>
      <c r="BK24" s="52">
        <f t="shared" si="31"/>
        <v>2127</v>
      </c>
      <c r="BL24" s="52">
        <f t="shared" si="32"/>
        <v>1947</v>
      </c>
      <c r="BM24" s="52">
        <f t="shared" si="33"/>
        <v>2928</v>
      </c>
      <c r="BN24" s="52">
        <f t="shared" si="34"/>
        <v>1718</v>
      </c>
      <c r="BO24" s="52">
        <f t="shared" si="35"/>
        <v>1704</v>
      </c>
      <c r="BP24" s="52">
        <f t="shared" si="36"/>
        <v>1781</v>
      </c>
      <c r="BQ24" s="52">
        <f t="shared" si="37"/>
        <v>1377</v>
      </c>
      <c r="BR24" s="52">
        <f t="shared" si="38"/>
        <v>1190</v>
      </c>
    </row>
    <row r="25" spans="2:70" ht="12" customHeight="1" x14ac:dyDescent="0.2">
      <c r="B25" s="51"/>
      <c r="C25" s="67" t="s">
        <v>138</v>
      </c>
      <c r="D25" s="52">
        <v>-157</v>
      </c>
      <c r="E25" s="52">
        <v>-453</v>
      </c>
      <c r="F25" s="52">
        <v>-933</v>
      </c>
      <c r="G25" s="52">
        <v>-1342</v>
      </c>
      <c r="H25" s="52">
        <v>-235</v>
      </c>
      <c r="I25" s="52">
        <v>-563</v>
      </c>
      <c r="J25" s="52">
        <v>-1166</v>
      </c>
      <c r="K25" s="52">
        <v>-1393</v>
      </c>
      <c r="L25" s="52">
        <v>6</v>
      </c>
      <c r="M25" s="52">
        <v>-400</v>
      </c>
      <c r="N25" s="52">
        <v>-859</v>
      </c>
      <c r="O25" s="52">
        <v>-1352</v>
      </c>
      <c r="P25" s="52">
        <v>-302</v>
      </c>
      <c r="Q25" s="52">
        <v>-582</v>
      </c>
      <c r="R25" s="52">
        <v>-961</v>
      </c>
      <c r="S25" s="52">
        <v>-1636</v>
      </c>
      <c r="T25" s="52">
        <v>-93</v>
      </c>
      <c r="U25" s="52">
        <v>0</v>
      </c>
      <c r="V25" s="52">
        <v>0</v>
      </c>
      <c r="W25" s="52">
        <v>-444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/>
      <c r="AE25" s="52"/>
      <c r="AF25" s="52"/>
      <c r="AG25" s="52"/>
      <c r="AH25" s="52"/>
      <c r="AI25" s="52"/>
      <c r="AJ25" s="52"/>
      <c r="AL25" s="52">
        <v>-157</v>
      </c>
      <c r="AM25" s="52">
        <f t="shared" si="10"/>
        <v>-296</v>
      </c>
      <c r="AN25" s="52">
        <f t="shared" si="11"/>
        <v>-480</v>
      </c>
      <c r="AO25" s="52">
        <f t="shared" si="12"/>
        <v>-409</v>
      </c>
      <c r="AP25" s="52">
        <v>-235</v>
      </c>
      <c r="AQ25" s="52">
        <f t="shared" si="13"/>
        <v>-328</v>
      </c>
      <c r="AR25" s="52">
        <f t="shared" si="14"/>
        <v>-603</v>
      </c>
      <c r="AS25" s="52">
        <f t="shared" si="15"/>
        <v>-227</v>
      </c>
      <c r="AT25" s="52">
        <v>6</v>
      </c>
      <c r="AU25" s="52">
        <f t="shared" si="16"/>
        <v>-406</v>
      </c>
      <c r="AV25" s="52">
        <f t="shared" si="17"/>
        <v>-459</v>
      </c>
      <c r="AW25" s="52">
        <f t="shared" si="18"/>
        <v>-493</v>
      </c>
      <c r="AX25" s="52">
        <v>-302</v>
      </c>
      <c r="AY25" s="52">
        <f t="shared" si="19"/>
        <v>-280</v>
      </c>
      <c r="AZ25" s="52">
        <f t="shared" si="20"/>
        <v>-379</v>
      </c>
      <c r="BA25" s="52">
        <f t="shared" si="21"/>
        <v>-675</v>
      </c>
      <c r="BB25" s="52">
        <f t="shared" si="22"/>
        <v>-93</v>
      </c>
      <c r="BC25" s="52">
        <f t="shared" si="23"/>
        <v>93</v>
      </c>
      <c r="BD25" s="52">
        <f t="shared" si="39"/>
        <v>0</v>
      </c>
      <c r="BE25" s="52">
        <f t="shared" si="25"/>
        <v>-444</v>
      </c>
      <c r="BF25" s="52">
        <f t="shared" si="26"/>
        <v>0</v>
      </c>
      <c r="BG25" s="52">
        <f t="shared" si="27"/>
        <v>0</v>
      </c>
      <c r="BH25" s="52">
        <f t="shared" si="28"/>
        <v>0</v>
      </c>
      <c r="BI25" s="52">
        <f t="shared" si="29"/>
        <v>0</v>
      </c>
      <c r="BJ25" s="52">
        <f t="shared" si="30"/>
        <v>0</v>
      </c>
      <c r="BK25" s="52">
        <f t="shared" si="31"/>
        <v>0</v>
      </c>
      <c r="BL25" s="52">
        <f t="shared" si="32"/>
        <v>0</v>
      </c>
      <c r="BM25" s="52">
        <f t="shared" si="33"/>
        <v>0</v>
      </c>
      <c r="BN25" s="52">
        <f t="shared" si="34"/>
        <v>0</v>
      </c>
      <c r="BO25" s="52">
        <f t="shared" si="35"/>
        <v>0</v>
      </c>
      <c r="BP25" s="52">
        <f t="shared" si="36"/>
        <v>0</v>
      </c>
      <c r="BQ25" s="52">
        <f t="shared" si="37"/>
        <v>0</v>
      </c>
      <c r="BR25" s="52">
        <f t="shared" si="38"/>
        <v>0</v>
      </c>
    </row>
    <row r="26" spans="2:70" ht="12" customHeight="1" x14ac:dyDescent="0.2">
      <c r="B26" s="51"/>
      <c r="C26" s="67" t="s">
        <v>342</v>
      </c>
      <c r="D26" s="52"/>
      <c r="E26" s="52"/>
      <c r="F26" s="52"/>
      <c r="G26" s="52">
        <v>0</v>
      </c>
      <c r="H26" s="52"/>
      <c r="I26" s="52">
        <v>0</v>
      </c>
      <c r="J26" s="52"/>
      <c r="K26" s="52">
        <v>0</v>
      </c>
      <c r="L26" s="52"/>
      <c r="M26" s="52">
        <v>0</v>
      </c>
      <c r="N26" s="52"/>
      <c r="O26" s="52">
        <v>0</v>
      </c>
      <c r="P26" s="52"/>
      <c r="Q26" s="52">
        <v>0</v>
      </c>
      <c r="R26" s="52"/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-4283</v>
      </c>
      <c r="AD26" s="52">
        <v>-4283</v>
      </c>
      <c r="AE26" s="52">
        <v>-4283</v>
      </c>
      <c r="AF26" s="52"/>
      <c r="AG26" s="52">
        <v>0</v>
      </c>
      <c r="AH26" s="52">
        <v>0</v>
      </c>
      <c r="AI26" s="52">
        <v>0</v>
      </c>
      <c r="AJ26" s="52"/>
      <c r="AL26" s="52"/>
      <c r="AM26" s="52">
        <f t="shared" si="10"/>
        <v>0</v>
      </c>
      <c r="AN26" s="52">
        <f t="shared" si="11"/>
        <v>0</v>
      </c>
      <c r="AO26" s="52">
        <f t="shared" si="12"/>
        <v>0</v>
      </c>
      <c r="AP26" s="52"/>
      <c r="AQ26" s="52">
        <f t="shared" si="13"/>
        <v>0</v>
      </c>
      <c r="AR26" s="52">
        <f t="shared" si="14"/>
        <v>0</v>
      </c>
      <c r="AS26" s="52">
        <f t="shared" si="15"/>
        <v>0</v>
      </c>
      <c r="AT26" s="52"/>
      <c r="AU26" s="52">
        <f t="shared" si="16"/>
        <v>0</v>
      </c>
      <c r="AV26" s="52">
        <f t="shared" si="17"/>
        <v>0</v>
      </c>
      <c r="AW26" s="52">
        <f t="shared" si="18"/>
        <v>0</v>
      </c>
      <c r="AX26" s="52"/>
      <c r="AY26" s="52">
        <f t="shared" si="19"/>
        <v>0</v>
      </c>
      <c r="AZ26" s="52">
        <f t="shared" si="20"/>
        <v>0</v>
      </c>
      <c r="BA26" s="52">
        <f t="shared" si="21"/>
        <v>0</v>
      </c>
      <c r="BB26" s="52">
        <f t="shared" si="22"/>
        <v>0</v>
      </c>
      <c r="BC26" s="52">
        <f t="shared" si="23"/>
        <v>0</v>
      </c>
      <c r="BD26" s="52">
        <f t="shared" si="39"/>
        <v>0</v>
      </c>
      <c r="BE26" s="52">
        <f t="shared" si="25"/>
        <v>0</v>
      </c>
      <c r="BF26" s="52">
        <f t="shared" si="26"/>
        <v>0</v>
      </c>
      <c r="BG26" s="52">
        <f t="shared" si="27"/>
        <v>0</v>
      </c>
      <c r="BH26" s="52">
        <f t="shared" si="28"/>
        <v>0</v>
      </c>
      <c r="BI26" s="52">
        <f t="shared" si="29"/>
        <v>0</v>
      </c>
      <c r="BJ26" s="52">
        <f t="shared" si="30"/>
        <v>0</v>
      </c>
      <c r="BK26" s="52">
        <f t="shared" si="31"/>
        <v>-4283</v>
      </c>
      <c r="BL26" s="52">
        <f t="shared" si="32"/>
        <v>0</v>
      </c>
      <c r="BM26" s="52">
        <f t="shared" si="33"/>
        <v>0</v>
      </c>
      <c r="BN26" s="52">
        <f t="shared" si="34"/>
        <v>0</v>
      </c>
      <c r="BO26" s="52">
        <f t="shared" si="35"/>
        <v>0</v>
      </c>
      <c r="BP26" s="52">
        <f t="shared" si="36"/>
        <v>0</v>
      </c>
      <c r="BQ26" s="52">
        <f t="shared" si="37"/>
        <v>0</v>
      </c>
      <c r="BR26" s="52">
        <f t="shared" si="38"/>
        <v>0</v>
      </c>
    </row>
    <row r="27" spans="2:70" ht="12" customHeight="1" x14ac:dyDescent="0.2">
      <c r="B27" s="51"/>
      <c r="C27" s="67" t="s">
        <v>139</v>
      </c>
      <c r="D27" s="52">
        <v>-4</v>
      </c>
      <c r="E27" s="52">
        <v>-23</v>
      </c>
      <c r="F27" s="52">
        <v>-35</v>
      </c>
      <c r="G27" s="52">
        <v>-47</v>
      </c>
      <c r="H27" s="52">
        <v>-12</v>
      </c>
      <c r="I27" s="52">
        <v>-23</v>
      </c>
      <c r="J27" s="52">
        <v>-36</v>
      </c>
      <c r="K27" s="52">
        <v>-104</v>
      </c>
      <c r="L27" s="52">
        <v>-33</v>
      </c>
      <c r="M27" s="52">
        <v>-67</v>
      </c>
      <c r="N27" s="52">
        <v>-113</v>
      </c>
      <c r="O27" s="52">
        <v>-146</v>
      </c>
      <c r="P27" s="52">
        <v>-36</v>
      </c>
      <c r="Q27" s="52">
        <v>-70</v>
      </c>
      <c r="R27" s="52">
        <v>-105</v>
      </c>
      <c r="S27" s="52">
        <v>-187</v>
      </c>
      <c r="T27" s="52">
        <v>-20</v>
      </c>
      <c r="U27" s="52">
        <v>-54</v>
      </c>
      <c r="V27" s="52">
        <v>-103</v>
      </c>
      <c r="W27" s="52">
        <v>-178</v>
      </c>
      <c r="X27" s="52">
        <v>-80</v>
      </c>
      <c r="Y27" s="52">
        <v>-142</v>
      </c>
      <c r="Z27" s="52">
        <v>-233</v>
      </c>
      <c r="AA27" s="52">
        <v>-336</v>
      </c>
      <c r="AB27" s="52">
        <v>-74</v>
      </c>
      <c r="AC27" s="52">
        <v>-140</v>
      </c>
      <c r="AD27" s="52">
        <v>165</v>
      </c>
      <c r="AE27" s="52">
        <v>-377</v>
      </c>
      <c r="AF27" s="52">
        <v>-158</v>
      </c>
      <c r="AG27" s="52">
        <v>-74</v>
      </c>
      <c r="AH27" s="52">
        <v>-114</v>
      </c>
      <c r="AI27" s="52">
        <v>-129</v>
      </c>
      <c r="AJ27" s="52">
        <v>-27</v>
      </c>
      <c r="AL27" s="52">
        <v>-4</v>
      </c>
      <c r="AM27" s="52">
        <f t="shared" si="10"/>
        <v>-19</v>
      </c>
      <c r="AN27" s="52">
        <f t="shared" si="11"/>
        <v>-12</v>
      </c>
      <c r="AO27" s="52">
        <f t="shared" si="12"/>
        <v>-12</v>
      </c>
      <c r="AP27" s="52">
        <v>-12</v>
      </c>
      <c r="AQ27" s="52">
        <f t="shared" si="13"/>
        <v>-11</v>
      </c>
      <c r="AR27" s="52">
        <f t="shared" si="14"/>
        <v>-13</v>
      </c>
      <c r="AS27" s="52">
        <f t="shared" si="15"/>
        <v>-68</v>
      </c>
      <c r="AT27" s="52">
        <v>-33</v>
      </c>
      <c r="AU27" s="52">
        <f t="shared" si="16"/>
        <v>-34</v>
      </c>
      <c r="AV27" s="52">
        <f t="shared" si="17"/>
        <v>-46</v>
      </c>
      <c r="AW27" s="52">
        <f t="shared" si="18"/>
        <v>-33</v>
      </c>
      <c r="AX27" s="52">
        <v>-36</v>
      </c>
      <c r="AY27" s="52">
        <f t="shared" si="19"/>
        <v>-34</v>
      </c>
      <c r="AZ27" s="52">
        <f t="shared" si="20"/>
        <v>-35</v>
      </c>
      <c r="BA27" s="52">
        <f t="shared" si="21"/>
        <v>-82</v>
      </c>
      <c r="BB27" s="52">
        <f t="shared" si="22"/>
        <v>-20</v>
      </c>
      <c r="BC27" s="52">
        <f t="shared" si="23"/>
        <v>-34</v>
      </c>
      <c r="BD27" s="52">
        <f t="shared" si="39"/>
        <v>-49</v>
      </c>
      <c r="BE27" s="52">
        <f t="shared" si="25"/>
        <v>-75</v>
      </c>
      <c r="BF27" s="52">
        <f t="shared" si="26"/>
        <v>-80</v>
      </c>
      <c r="BG27" s="52">
        <f t="shared" si="27"/>
        <v>-62</v>
      </c>
      <c r="BH27" s="52">
        <f t="shared" si="28"/>
        <v>-91</v>
      </c>
      <c r="BI27" s="52">
        <f t="shared" si="29"/>
        <v>-103</v>
      </c>
      <c r="BJ27" s="52">
        <f t="shared" si="30"/>
        <v>-74</v>
      </c>
      <c r="BK27" s="52">
        <f t="shared" si="31"/>
        <v>-66</v>
      </c>
      <c r="BL27" s="52">
        <f t="shared" si="32"/>
        <v>305</v>
      </c>
      <c r="BM27" s="52">
        <f t="shared" si="33"/>
        <v>-542</v>
      </c>
      <c r="BN27" s="52">
        <f t="shared" si="34"/>
        <v>-158</v>
      </c>
      <c r="BO27" s="52">
        <f t="shared" si="35"/>
        <v>84</v>
      </c>
      <c r="BP27" s="52">
        <f t="shared" si="36"/>
        <v>-40</v>
      </c>
      <c r="BQ27" s="52">
        <f t="shared" si="37"/>
        <v>-15</v>
      </c>
      <c r="BR27" s="52">
        <f t="shared" si="38"/>
        <v>-27</v>
      </c>
    </row>
    <row r="28" spans="2:70" ht="12" customHeight="1" x14ac:dyDescent="0.2">
      <c r="B28" s="51"/>
      <c r="C28" s="67" t="s">
        <v>140</v>
      </c>
      <c r="D28" s="52"/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/>
      <c r="AE28" s="52"/>
      <c r="AF28" s="52"/>
      <c r="AG28" s="52"/>
      <c r="AH28" s="52"/>
      <c r="AI28" s="52"/>
      <c r="AJ28" s="52"/>
      <c r="AL28" s="52"/>
      <c r="AM28" s="52">
        <f t="shared" si="10"/>
        <v>0</v>
      </c>
      <c r="AN28" s="52">
        <f t="shared" si="11"/>
        <v>0</v>
      </c>
      <c r="AO28" s="52">
        <f t="shared" si="12"/>
        <v>0</v>
      </c>
      <c r="AP28" s="52">
        <f>H28</f>
        <v>0</v>
      </c>
      <c r="AQ28" s="52">
        <f t="shared" si="13"/>
        <v>0</v>
      </c>
      <c r="AR28" s="52">
        <f t="shared" si="14"/>
        <v>0</v>
      </c>
      <c r="AS28" s="52">
        <f t="shared" si="15"/>
        <v>0</v>
      </c>
      <c r="AT28" s="52">
        <f>L28</f>
        <v>0</v>
      </c>
      <c r="AU28" s="52">
        <f t="shared" si="16"/>
        <v>0</v>
      </c>
      <c r="AV28" s="52">
        <f t="shared" si="17"/>
        <v>0</v>
      </c>
      <c r="AW28" s="52">
        <f t="shared" si="18"/>
        <v>0</v>
      </c>
      <c r="AX28" s="52">
        <f>P28</f>
        <v>0</v>
      </c>
      <c r="AY28" s="52">
        <f t="shared" si="19"/>
        <v>0</v>
      </c>
      <c r="AZ28" s="52">
        <f t="shared" si="20"/>
        <v>0</v>
      </c>
      <c r="BA28" s="52">
        <f t="shared" si="21"/>
        <v>0</v>
      </c>
      <c r="BB28" s="52">
        <f t="shared" si="22"/>
        <v>0</v>
      </c>
      <c r="BC28" s="52">
        <f t="shared" si="23"/>
        <v>0</v>
      </c>
      <c r="BD28" s="52">
        <f t="shared" si="39"/>
        <v>0</v>
      </c>
      <c r="BE28" s="52">
        <f t="shared" si="25"/>
        <v>0</v>
      </c>
      <c r="BF28" s="52">
        <f t="shared" si="26"/>
        <v>0</v>
      </c>
      <c r="BG28" s="52">
        <f t="shared" si="27"/>
        <v>0</v>
      </c>
      <c r="BH28" s="52">
        <f t="shared" si="28"/>
        <v>0</v>
      </c>
      <c r="BI28" s="52">
        <f t="shared" si="29"/>
        <v>0</v>
      </c>
      <c r="BJ28" s="52">
        <f t="shared" si="30"/>
        <v>0</v>
      </c>
      <c r="BK28" s="52">
        <f t="shared" si="31"/>
        <v>0</v>
      </c>
      <c r="BL28" s="52">
        <f t="shared" si="32"/>
        <v>0</v>
      </c>
      <c r="BM28" s="52">
        <f t="shared" si="33"/>
        <v>0</v>
      </c>
      <c r="BN28" s="52">
        <f t="shared" si="34"/>
        <v>0</v>
      </c>
      <c r="BO28" s="52">
        <f t="shared" si="35"/>
        <v>0</v>
      </c>
      <c r="BP28" s="52">
        <f t="shared" si="36"/>
        <v>0</v>
      </c>
      <c r="BQ28" s="52">
        <f t="shared" si="37"/>
        <v>0</v>
      </c>
      <c r="BR28" s="52">
        <f t="shared" si="38"/>
        <v>0</v>
      </c>
    </row>
    <row r="29" spans="2:70" ht="12" customHeight="1" x14ac:dyDescent="0.2">
      <c r="B29" s="51"/>
      <c r="C29" s="67" t="s">
        <v>141</v>
      </c>
      <c r="D29" s="52"/>
      <c r="E29" s="52"/>
      <c r="F29" s="52">
        <v>0</v>
      </c>
      <c r="G29" s="52"/>
      <c r="H29" s="52">
        <v>0</v>
      </c>
      <c r="I29" s="52"/>
      <c r="J29" s="52">
        <v>0</v>
      </c>
      <c r="K29" s="52"/>
      <c r="L29" s="52">
        <v>0</v>
      </c>
      <c r="M29" s="52"/>
      <c r="N29" s="52">
        <v>0</v>
      </c>
      <c r="O29" s="52"/>
      <c r="P29" s="52">
        <v>0</v>
      </c>
      <c r="Q29" s="52">
        <v>0</v>
      </c>
      <c r="R29" s="52">
        <v>0</v>
      </c>
      <c r="S29" s="52"/>
      <c r="T29" s="52">
        <v>0</v>
      </c>
      <c r="U29" s="52"/>
      <c r="V29" s="52">
        <v>0</v>
      </c>
      <c r="W29" s="52"/>
      <c r="X29" s="52">
        <v>0</v>
      </c>
      <c r="Y29" s="52"/>
      <c r="Z29" s="52">
        <v>0</v>
      </c>
      <c r="AA29" s="52"/>
      <c r="AB29" s="52">
        <v>0</v>
      </c>
      <c r="AC29" s="52"/>
      <c r="AD29" s="52"/>
      <c r="AE29" s="52"/>
      <c r="AF29" s="52"/>
      <c r="AG29" s="52"/>
      <c r="AH29" s="52"/>
      <c r="AI29" s="52"/>
      <c r="AJ29" s="52"/>
      <c r="AL29" s="52"/>
      <c r="AM29" s="52">
        <f t="shared" ref="AM29" si="40">E29-D29</f>
        <v>0</v>
      </c>
      <c r="AN29" s="52">
        <f t="shared" ref="AN29" si="41">F29-E29</f>
        <v>0</v>
      </c>
      <c r="AO29" s="52">
        <f t="shared" ref="AO29" si="42">G29-F29</f>
        <v>0</v>
      </c>
      <c r="AP29" s="52">
        <f>H29</f>
        <v>0</v>
      </c>
      <c r="AQ29" s="52">
        <f t="shared" ref="AQ29" si="43">I29-H29</f>
        <v>0</v>
      </c>
      <c r="AR29" s="52">
        <f t="shared" ref="AR29" si="44">J29-I29</f>
        <v>0</v>
      </c>
      <c r="AS29" s="52">
        <f t="shared" ref="AS29" si="45">K29-J29</f>
        <v>0</v>
      </c>
      <c r="AT29" s="52">
        <f>L29</f>
        <v>0</v>
      </c>
      <c r="AU29" s="52">
        <f t="shared" ref="AU29" si="46">M29-L29</f>
        <v>0</v>
      </c>
      <c r="AV29" s="52">
        <f t="shared" ref="AV29" si="47">N29-M29</f>
        <v>0</v>
      </c>
      <c r="AW29" s="52">
        <f t="shared" ref="AW29" si="48">O29-N29</f>
        <v>0</v>
      </c>
      <c r="AX29" s="52">
        <f>P29</f>
        <v>0</v>
      </c>
      <c r="AY29" s="52">
        <f t="shared" ref="AY29" si="49">Q29-P29</f>
        <v>0</v>
      </c>
      <c r="AZ29" s="52">
        <f t="shared" ref="AZ29" si="50">R29-Q29</f>
        <v>0</v>
      </c>
      <c r="BA29" s="52">
        <f t="shared" ref="BA29" si="51">S29-R29</f>
        <v>0</v>
      </c>
      <c r="BB29" s="52">
        <f t="shared" ref="BB29" si="52">T29</f>
        <v>0</v>
      </c>
      <c r="BC29" s="52">
        <f>U29-T29</f>
        <v>0</v>
      </c>
      <c r="BD29" s="52">
        <f t="shared" si="39"/>
        <v>0</v>
      </c>
      <c r="BE29" s="52">
        <f t="shared" si="25"/>
        <v>0</v>
      </c>
      <c r="BF29" s="52">
        <f t="shared" si="26"/>
        <v>0</v>
      </c>
      <c r="BG29" s="52">
        <f t="shared" si="27"/>
        <v>0</v>
      </c>
      <c r="BH29" s="52">
        <f t="shared" si="28"/>
        <v>0</v>
      </c>
      <c r="BI29" s="52">
        <f t="shared" si="29"/>
        <v>0</v>
      </c>
      <c r="BJ29" s="52">
        <f t="shared" si="30"/>
        <v>0</v>
      </c>
      <c r="BK29" s="52">
        <f t="shared" si="31"/>
        <v>0</v>
      </c>
      <c r="BL29" s="52">
        <f t="shared" si="32"/>
        <v>0</v>
      </c>
      <c r="BM29" s="52">
        <f t="shared" si="33"/>
        <v>0</v>
      </c>
      <c r="BN29" s="52">
        <f t="shared" si="34"/>
        <v>0</v>
      </c>
      <c r="BO29" s="52">
        <f t="shared" si="35"/>
        <v>0</v>
      </c>
      <c r="BP29" s="52">
        <f t="shared" si="36"/>
        <v>0</v>
      </c>
      <c r="BQ29" s="52">
        <f t="shared" si="37"/>
        <v>0</v>
      </c>
      <c r="BR29" s="52">
        <f t="shared" si="38"/>
        <v>0</v>
      </c>
    </row>
    <row r="30" spans="2:70" ht="12" customHeight="1" x14ac:dyDescent="0.2">
      <c r="B30" s="51"/>
      <c r="C30" s="67" t="s">
        <v>142</v>
      </c>
      <c r="D30" s="52"/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/>
      <c r="AE30" s="52"/>
      <c r="AF30" s="52"/>
      <c r="AG30" s="52"/>
      <c r="AH30" s="52"/>
      <c r="AI30" s="52"/>
      <c r="AJ30" s="52"/>
      <c r="AL30" s="52"/>
      <c r="AM30" s="52">
        <f>E29-D29</f>
        <v>0</v>
      </c>
      <c r="AN30" s="52">
        <f>F29-E29</f>
        <v>0</v>
      </c>
      <c r="AO30" s="52">
        <f>G29-F29</f>
        <v>0</v>
      </c>
      <c r="AP30" s="52">
        <v>0</v>
      </c>
      <c r="AQ30" s="52">
        <f>I29-H29</f>
        <v>0</v>
      </c>
      <c r="AR30" s="52">
        <f>J29-I29</f>
        <v>0</v>
      </c>
      <c r="AS30" s="52">
        <f>K29-J29</f>
        <v>0</v>
      </c>
      <c r="AT30" s="52">
        <v>0</v>
      </c>
      <c r="AU30" s="52">
        <f>M29-L29</f>
        <v>0</v>
      </c>
      <c r="AV30" s="52">
        <f>N29-M29</f>
        <v>0</v>
      </c>
      <c r="AW30" s="52">
        <f>O29-N29</f>
        <v>0</v>
      </c>
      <c r="AX30" s="52">
        <v>0</v>
      </c>
      <c r="AY30" s="52">
        <f>Q29-P29</f>
        <v>0</v>
      </c>
      <c r="AZ30" s="52">
        <f>R29-Q29</f>
        <v>0</v>
      </c>
      <c r="BA30" s="52">
        <f>S29-R29</f>
        <v>0</v>
      </c>
      <c r="BB30" s="52">
        <f>T29</f>
        <v>0</v>
      </c>
      <c r="BC30" s="52">
        <f>U29-T29</f>
        <v>0</v>
      </c>
      <c r="BD30" s="52">
        <f>V29-U29</f>
        <v>0</v>
      </c>
      <c r="BE30" s="52">
        <f t="shared" si="25"/>
        <v>0</v>
      </c>
      <c r="BF30" s="52">
        <f t="shared" si="26"/>
        <v>0</v>
      </c>
      <c r="BG30" s="52">
        <f t="shared" si="27"/>
        <v>0</v>
      </c>
      <c r="BH30" s="52">
        <f t="shared" si="28"/>
        <v>0</v>
      </c>
      <c r="BI30" s="52">
        <f t="shared" si="29"/>
        <v>0</v>
      </c>
      <c r="BJ30" s="52">
        <f t="shared" si="30"/>
        <v>0</v>
      </c>
      <c r="BK30" s="52">
        <f t="shared" si="31"/>
        <v>0</v>
      </c>
      <c r="BL30" s="52">
        <f t="shared" si="32"/>
        <v>0</v>
      </c>
      <c r="BM30" s="52">
        <f t="shared" si="33"/>
        <v>0</v>
      </c>
      <c r="BN30" s="52">
        <f t="shared" si="34"/>
        <v>0</v>
      </c>
      <c r="BO30" s="52">
        <f t="shared" si="35"/>
        <v>0</v>
      </c>
      <c r="BP30" s="52">
        <f t="shared" si="36"/>
        <v>0</v>
      </c>
      <c r="BQ30" s="52">
        <f t="shared" si="37"/>
        <v>0</v>
      </c>
      <c r="BR30" s="52">
        <f t="shared" si="38"/>
        <v>0</v>
      </c>
    </row>
    <row r="31" spans="2:70" ht="12" customHeight="1" x14ac:dyDescent="0.2">
      <c r="B31" s="51"/>
      <c r="C31" s="67" t="s">
        <v>143</v>
      </c>
      <c r="D31" s="52">
        <v>687</v>
      </c>
      <c r="E31" s="52">
        <v>2301</v>
      </c>
      <c r="F31" s="52">
        <v>2073</v>
      </c>
      <c r="G31" s="52">
        <v>1347</v>
      </c>
      <c r="H31" s="52">
        <v>133</v>
      </c>
      <c r="I31" s="52">
        <v>-700</v>
      </c>
      <c r="J31" s="52">
        <v>-810</v>
      </c>
      <c r="K31" s="52">
        <v>-4608</v>
      </c>
      <c r="L31" s="52">
        <v>-468</v>
      </c>
      <c r="M31" s="52">
        <v>1813</v>
      </c>
      <c r="N31" s="52">
        <v>1534</v>
      </c>
      <c r="O31" s="52">
        <v>1600</v>
      </c>
      <c r="P31" s="52">
        <v>-183</v>
      </c>
      <c r="Q31" s="52">
        <v>5052</v>
      </c>
      <c r="R31" s="52">
        <v>5600</v>
      </c>
      <c r="S31" s="52">
        <v>6673</v>
      </c>
      <c r="T31" s="52">
        <v>-716</v>
      </c>
      <c r="U31" s="52">
        <v>-1833</v>
      </c>
      <c r="V31" s="52">
        <v>13077</v>
      </c>
      <c r="W31" s="52">
        <v>3373</v>
      </c>
      <c r="X31" s="52">
        <v>4076</v>
      </c>
      <c r="Y31" s="52">
        <v>2759</v>
      </c>
      <c r="Z31" s="52">
        <v>4677</v>
      </c>
      <c r="AA31" s="52">
        <v>15953</v>
      </c>
      <c r="AB31" s="52">
        <v>435</v>
      </c>
      <c r="AC31" s="52">
        <v>890</v>
      </c>
      <c r="AD31" s="52">
        <v>585</v>
      </c>
      <c r="AE31" s="52">
        <v>274</v>
      </c>
      <c r="AF31" s="52">
        <v>284</v>
      </c>
      <c r="AG31" s="52">
        <v>1640</v>
      </c>
      <c r="AH31" s="52">
        <v>3431</v>
      </c>
      <c r="AI31" s="52">
        <v>5106</v>
      </c>
      <c r="AJ31" s="52">
        <v>2103</v>
      </c>
      <c r="AL31" s="52">
        <v>687</v>
      </c>
      <c r="AM31" s="52">
        <f>E31-D31</f>
        <v>1614</v>
      </c>
      <c r="AN31" s="52">
        <f>F31-E31</f>
        <v>-228</v>
      </c>
      <c r="AO31" s="52">
        <f>G31-F31</f>
        <v>-726</v>
      </c>
      <c r="AP31" s="52">
        <v>133</v>
      </c>
      <c r="AQ31" s="52">
        <f>I31-H31</f>
        <v>-833</v>
      </c>
      <c r="AR31" s="52">
        <f>J31-I31</f>
        <v>-110</v>
      </c>
      <c r="AS31" s="52">
        <f>K31-J31</f>
        <v>-3798</v>
      </c>
      <c r="AT31" s="52">
        <v>-468</v>
      </c>
      <c r="AU31" s="52">
        <f>M31-L31</f>
        <v>2281</v>
      </c>
      <c r="AV31" s="52">
        <f>N31-M31</f>
        <v>-279</v>
      </c>
      <c r="AW31" s="52">
        <f>O31-N31</f>
        <v>66</v>
      </c>
      <c r="AX31" s="52">
        <v>-183</v>
      </c>
      <c r="AY31" s="52">
        <f>Q31-P31</f>
        <v>5235</v>
      </c>
      <c r="AZ31" s="52">
        <f>R31-Q31</f>
        <v>548</v>
      </c>
      <c r="BA31" s="52">
        <f>S31-R31</f>
        <v>1073</v>
      </c>
      <c r="BB31" s="52">
        <f>T31</f>
        <v>-716</v>
      </c>
      <c r="BC31" s="52">
        <f>U31-T31</f>
        <v>-1117</v>
      </c>
      <c r="BD31" s="52">
        <f>V31-U31</f>
        <v>14910</v>
      </c>
      <c r="BE31" s="52">
        <f t="shared" si="25"/>
        <v>-9704</v>
      </c>
      <c r="BF31" s="52">
        <f t="shared" si="26"/>
        <v>4076</v>
      </c>
      <c r="BG31" s="52">
        <f t="shared" si="27"/>
        <v>-1317</v>
      </c>
      <c r="BH31" s="52">
        <f t="shared" si="28"/>
        <v>1918</v>
      </c>
      <c r="BI31" s="52">
        <f t="shared" si="29"/>
        <v>11276</v>
      </c>
      <c r="BJ31" s="52">
        <f t="shared" si="30"/>
        <v>435</v>
      </c>
      <c r="BK31" s="52">
        <f t="shared" si="31"/>
        <v>455</v>
      </c>
      <c r="BL31" s="52">
        <f t="shared" si="32"/>
        <v>-305</v>
      </c>
      <c r="BM31" s="52">
        <f t="shared" si="33"/>
        <v>-311</v>
      </c>
      <c r="BN31" s="52">
        <f t="shared" si="34"/>
        <v>284</v>
      </c>
      <c r="BO31" s="52">
        <f t="shared" si="35"/>
        <v>1356</v>
      </c>
      <c r="BP31" s="52">
        <f t="shared" si="36"/>
        <v>1791</v>
      </c>
      <c r="BQ31" s="52">
        <f t="shared" si="37"/>
        <v>1675</v>
      </c>
      <c r="BR31" s="52">
        <f t="shared" si="38"/>
        <v>2103</v>
      </c>
    </row>
    <row r="32" spans="2:70" ht="12" customHeight="1" x14ac:dyDescent="0.2">
      <c r="B32" s="230" t="s">
        <v>144</v>
      </c>
      <c r="C32" s="231"/>
      <c r="D32" s="68">
        <f t="shared" ref="D32:I32" si="53">SUM(D11:D12)</f>
        <v>31213</v>
      </c>
      <c r="E32" s="68">
        <f t="shared" si="53"/>
        <v>70208</v>
      </c>
      <c r="F32" s="68">
        <f t="shared" si="53"/>
        <v>103936</v>
      </c>
      <c r="G32" s="68">
        <f t="shared" si="53"/>
        <v>137567</v>
      </c>
      <c r="H32" s="68">
        <f t="shared" si="53"/>
        <v>33850</v>
      </c>
      <c r="I32" s="68">
        <f t="shared" si="53"/>
        <v>66225</v>
      </c>
      <c r="J32" s="68">
        <f>SUM(J11:J12)</f>
        <v>97057</v>
      </c>
      <c r="K32" s="68">
        <f t="shared" ref="K32:R32" si="54">SUM(K11:K12)</f>
        <v>118767</v>
      </c>
      <c r="L32" s="68">
        <f t="shared" si="54"/>
        <v>35572</v>
      </c>
      <c r="M32" s="68">
        <f t="shared" si="54"/>
        <v>70469</v>
      </c>
      <c r="N32" s="68">
        <f t="shared" si="54"/>
        <v>101705</v>
      </c>
      <c r="O32" s="68">
        <f t="shared" si="54"/>
        <v>133126</v>
      </c>
      <c r="P32" s="68">
        <f t="shared" si="54"/>
        <v>30756</v>
      </c>
      <c r="Q32" s="68">
        <f t="shared" si="54"/>
        <v>63901</v>
      </c>
      <c r="R32" s="68">
        <f t="shared" si="54"/>
        <v>95533</v>
      </c>
      <c r="S32" s="68">
        <f t="shared" ref="S32:AD32" si="55">SUM(S11:S12)</f>
        <v>114681</v>
      </c>
      <c r="T32" s="68">
        <f t="shared" si="55"/>
        <v>12938</v>
      </c>
      <c r="U32" s="68">
        <f t="shared" si="55"/>
        <v>36471</v>
      </c>
      <c r="V32" s="68">
        <f t="shared" si="55"/>
        <v>66214</v>
      </c>
      <c r="W32" s="68">
        <f t="shared" si="55"/>
        <v>98246</v>
      </c>
      <c r="X32" s="68">
        <f t="shared" si="55"/>
        <v>33812</v>
      </c>
      <c r="Y32" s="68">
        <f t="shared" si="55"/>
        <v>60504</v>
      </c>
      <c r="Z32" s="68">
        <f t="shared" si="55"/>
        <v>92673</v>
      </c>
      <c r="AA32" s="68">
        <f t="shared" si="55"/>
        <v>116317</v>
      </c>
      <c r="AB32" s="68">
        <f t="shared" si="55"/>
        <v>33033</v>
      </c>
      <c r="AC32" s="68">
        <f t="shared" si="55"/>
        <v>80096</v>
      </c>
      <c r="AD32" s="68">
        <f t="shared" si="55"/>
        <v>119378</v>
      </c>
      <c r="AE32" s="68">
        <f t="shared" ref="AE32:AI32" si="56">SUM(AE11:AE12)</f>
        <v>149575</v>
      </c>
      <c r="AF32" s="68">
        <f t="shared" si="56"/>
        <v>35617</v>
      </c>
      <c r="AG32" s="68">
        <f t="shared" si="56"/>
        <v>78880</v>
      </c>
      <c r="AH32" s="68">
        <f t="shared" si="56"/>
        <v>121343</v>
      </c>
      <c r="AI32" s="68">
        <f t="shared" si="56"/>
        <v>148258</v>
      </c>
      <c r="AJ32" s="68">
        <f t="shared" ref="AJ32" si="57">SUM(AJ11:AJ12)</f>
        <v>47663</v>
      </c>
      <c r="AL32" s="68">
        <f t="shared" ref="AL32:BC32" si="58">SUM(AL11:AL12)</f>
        <v>31213</v>
      </c>
      <c r="AM32" s="68">
        <f t="shared" si="58"/>
        <v>38995</v>
      </c>
      <c r="AN32" s="68">
        <f t="shared" si="58"/>
        <v>33728</v>
      </c>
      <c r="AO32" s="68">
        <f t="shared" si="58"/>
        <v>33631</v>
      </c>
      <c r="AP32" s="68">
        <f t="shared" si="58"/>
        <v>33850</v>
      </c>
      <c r="AQ32" s="68">
        <f t="shared" si="58"/>
        <v>32375</v>
      </c>
      <c r="AR32" s="68">
        <f t="shared" si="58"/>
        <v>30832</v>
      </c>
      <c r="AS32" s="68">
        <f t="shared" si="58"/>
        <v>21710</v>
      </c>
      <c r="AT32" s="68">
        <f t="shared" si="58"/>
        <v>35572</v>
      </c>
      <c r="AU32" s="68">
        <f t="shared" si="58"/>
        <v>34897</v>
      </c>
      <c r="AV32" s="68">
        <f t="shared" si="58"/>
        <v>31236</v>
      </c>
      <c r="AW32" s="68">
        <f t="shared" si="58"/>
        <v>31421</v>
      </c>
      <c r="AX32" s="68">
        <f t="shared" si="58"/>
        <v>30756</v>
      </c>
      <c r="AY32" s="68">
        <f t="shared" si="58"/>
        <v>33145</v>
      </c>
      <c r="AZ32" s="68">
        <f t="shared" si="58"/>
        <v>31632</v>
      </c>
      <c r="BA32" s="68">
        <f t="shared" si="58"/>
        <v>19148</v>
      </c>
      <c r="BB32" s="68">
        <f t="shared" si="58"/>
        <v>12938</v>
      </c>
      <c r="BC32" s="68">
        <f t="shared" si="58"/>
        <v>23533</v>
      </c>
      <c r="BD32" s="68">
        <f t="shared" ref="BD32:BG32" si="59">SUM(BD11:BD12)</f>
        <v>29743</v>
      </c>
      <c r="BE32" s="68">
        <f t="shared" si="59"/>
        <v>32032</v>
      </c>
      <c r="BF32" s="68">
        <f t="shared" si="59"/>
        <v>33812</v>
      </c>
      <c r="BG32" s="68">
        <f t="shared" si="59"/>
        <v>26692</v>
      </c>
      <c r="BH32" s="68">
        <f t="shared" ref="BH32:BK32" si="60">SUM(BH11:BH12)</f>
        <v>32169</v>
      </c>
      <c r="BI32" s="68">
        <f t="shared" si="60"/>
        <v>23644</v>
      </c>
      <c r="BJ32" s="68">
        <f t="shared" si="60"/>
        <v>33033</v>
      </c>
      <c r="BK32" s="68">
        <f t="shared" si="60"/>
        <v>47063</v>
      </c>
      <c r="BL32" s="68">
        <f t="shared" ref="BL32:BO32" si="61">SUM(BL11:BL12)</f>
        <v>39282</v>
      </c>
      <c r="BM32" s="68">
        <f t="shared" si="61"/>
        <v>19325</v>
      </c>
      <c r="BN32" s="68">
        <f t="shared" si="61"/>
        <v>35617</v>
      </c>
      <c r="BO32" s="68">
        <f t="shared" si="61"/>
        <v>43263</v>
      </c>
      <c r="BP32" s="68">
        <f t="shared" ref="BP32:BR32" si="62">SUM(BP11:BP12)</f>
        <v>42463</v>
      </c>
      <c r="BQ32" s="68">
        <f t="shared" si="62"/>
        <v>26915</v>
      </c>
      <c r="BR32" s="68">
        <f t="shared" si="62"/>
        <v>47663</v>
      </c>
    </row>
    <row r="33" spans="2:70" ht="12" customHeight="1" x14ac:dyDescent="0.2">
      <c r="B33" s="51"/>
      <c r="C33" s="67" t="s">
        <v>145</v>
      </c>
      <c r="D33" s="52">
        <v>-10636</v>
      </c>
      <c r="E33" s="52">
        <v>-43431</v>
      </c>
      <c r="F33" s="52">
        <v>-57905</v>
      </c>
      <c r="G33" s="52">
        <v>-39950</v>
      </c>
      <c r="H33" s="52">
        <v>-9151</v>
      </c>
      <c r="I33" s="52">
        <v>-10633</v>
      </c>
      <c r="J33" s="52">
        <v>-12015</v>
      </c>
      <c r="K33" s="52">
        <v>13927</v>
      </c>
      <c r="L33" s="52">
        <v>-6282</v>
      </c>
      <c r="M33" s="52">
        <v>-17455</v>
      </c>
      <c r="N33" s="52">
        <v>-21904</v>
      </c>
      <c r="O33" s="52">
        <v>-3376</v>
      </c>
      <c r="P33" s="52">
        <v>-27763</v>
      </c>
      <c r="Q33" s="52">
        <v>-63892</v>
      </c>
      <c r="R33" s="52">
        <v>-82448</v>
      </c>
      <c r="S33" s="52">
        <v>-83860</v>
      </c>
      <c r="T33" s="52">
        <v>-20121</v>
      </c>
      <c r="U33" s="52">
        <v>-31182</v>
      </c>
      <c r="V33" s="52">
        <v>-33480</v>
      </c>
      <c r="W33" s="52">
        <v>-12682</v>
      </c>
      <c r="X33" s="52">
        <v>-12270</v>
      </c>
      <c r="Y33" s="52">
        <v>-35001</v>
      </c>
      <c r="Z33" s="52">
        <v>-31427</v>
      </c>
      <c r="AA33" s="52">
        <v>9321</v>
      </c>
      <c r="AB33" s="52">
        <v>17707</v>
      </c>
      <c r="AC33" s="52">
        <v>22397</v>
      </c>
      <c r="AD33" s="52">
        <v>8096</v>
      </c>
      <c r="AE33" s="52">
        <v>17454</v>
      </c>
      <c r="AF33" s="52">
        <v>-14617</v>
      </c>
      <c r="AG33" s="52">
        <v>-29228</v>
      </c>
      <c r="AH33" s="52">
        <v>-37929</v>
      </c>
      <c r="AI33" s="52">
        <v>-20691</v>
      </c>
      <c r="AJ33" s="52">
        <v>224</v>
      </c>
      <c r="AL33" s="52">
        <v>-10636</v>
      </c>
      <c r="AM33" s="52">
        <f t="shared" ref="AM33:AO35" si="63">E33-D33</f>
        <v>-32795</v>
      </c>
      <c r="AN33" s="52">
        <f t="shared" si="63"/>
        <v>-14474</v>
      </c>
      <c r="AO33" s="52">
        <f t="shared" si="63"/>
        <v>17955</v>
      </c>
      <c r="AP33" s="52">
        <v>-9151</v>
      </c>
      <c r="AQ33" s="52">
        <f t="shared" ref="AQ33:AS35" si="64">I33-H33</f>
        <v>-1482</v>
      </c>
      <c r="AR33" s="52">
        <f t="shared" si="64"/>
        <v>-1382</v>
      </c>
      <c r="AS33" s="52">
        <f t="shared" si="64"/>
        <v>25942</v>
      </c>
      <c r="AT33" s="52">
        <v>-6282</v>
      </c>
      <c r="AU33" s="52">
        <f t="shared" ref="AU33:AW35" si="65">M33-L33</f>
        <v>-11173</v>
      </c>
      <c r="AV33" s="52">
        <f t="shared" si="65"/>
        <v>-4449</v>
      </c>
      <c r="AW33" s="52">
        <f t="shared" si="65"/>
        <v>18528</v>
      </c>
      <c r="AX33" s="52">
        <v>-27763</v>
      </c>
      <c r="AY33" s="52">
        <f t="shared" ref="AY33:BA35" si="66">Q33-P33</f>
        <v>-36129</v>
      </c>
      <c r="AZ33" s="52">
        <f t="shared" si="66"/>
        <v>-18556</v>
      </c>
      <c r="BA33" s="52">
        <f t="shared" si="66"/>
        <v>-1412</v>
      </c>
      <c r="BB33" s="52">
        <f t="shared" ref="BB33:BB43" si="67">T33</f>
        <v>-20121</v>
      </c>
      <c r="BC33" s="52">
        <f t="shared" ref="BC33:BD35" si="68">U33-T33</f>
        <v>-11061</v>
      </c>
      <c r="BD33" s="52">
        <f t="shared" si="68"/>
        <v>-2298</v>
      </c>
      <c r="BE33" s="52">
        <f t="shared" ref="BE33:BE43" si="69">W33-V33</f>
        <v>20798</v>
      </c>
      <c r="BF33" s="52">
        <f t="shared" ref="BF33:BF47" si="70">X33</f>
        <v>-12270</v>
      </c>
      <c r="BG33" s="52">
        <f t="shared" ref="BG33:BI35" si="71">Y33-X33</f>
        <v>-22731</v>
      </c>
      <c r="BH33" s="52">
        <f t="shared" si="71"/>
        <v>3574</v>
      </c>
      <c r="BI33" s="52">
        <f t="shared" si="71"/>
        <v>40748</v>
      </c>
      <c r="BJ33" s="52">
        <f t="shared" ref="BJ33:BJ47" si="72">AB33</f>
        <v>17707</v>
      </c>
      <c r="BK33" s="52">
        <f t="shared" ref="BK33:BK43" si="73">AC33-AB33</f>
        <v>4690</v>
      </c>
      <c r="BL33" s="52">
        <f t="shared" ref="BL33:BL43" si="74">AD33-AC33</f>
        <v>-14301</v>
      </c>
      <c r="BM33" s="52">
        <f t="shared" ref="BM33:BM43" si="75">AE33-AD33</f>
        <v>9358</v>
      </c>
      <c r="BN33" s="52">
        <f t="shared" ref="BN33:BN47" si="76">AF33</f>
        <v>-14617</v>
      </c>
      <c r="BO33" s="52">
        <f t="shared" ref="BO33:BO43" si="77">AG33-AF33</f>
        <v>-14611</v>
      </c>
      <c r="BP33" s="52">
        <f t="shared" ref="BP33:BP43" si="78">AH33-AG33</f>
        <v>-8701</v>
      </c>
      <c r="BQ33" s="52">
        <f t="shared" ref="BQ33:BQ43" si="79">AI33-AH33</f>
        <v>17238</v>
      </c>
      <c r="BR33" s="52">
        <f t="shared" ref="BR33:BR47" si="80">AJ33</f>
        <v>224</v>
      </c>
    </row>
    <row r="34" spans="2:70" ht="12" customHeight="1" x14ac:dyDescent="0.2">
      <c r="B34" s="51"/>
      <c r="C34" s="67" t="s">
        <v>146</v>
      </c>
      <c r="D34" s="52"/>
      <c r="E34" s="52">
        <v>0</v>
      </c>
      <c r="F34" s="52">
        <v>0</v>
      </c>
      <c r="G34" s="52">
        <v>-6502</v>
      </c>
      <c r="H34" s="52">
        <v>406</v>
      </c>
      <c r="I34" s="52">
        <v>813</v>
      </c>
      <c r="J34" s="52">
        <v>1219</v>
      </c>
      <c r="K34" s="52">
        <v>-8694</v>
      </c>
      <c r="L34" s="52">
        <v>406</v>
      </c>
      <c r="M34" s="52">
        <v>813</v>
      </c>
      <c r="N34" s="52">
        <v>8478</v>
      </c>
      <c r="O34" s="52">
        <v>11945</v>
      </c>
      <c r="P34" s="52">
        <v>406</v>
      </c>
      <c r="Q34" s="52">
        <v>813</v>
      </c>
      <c r="R34" s="52">
        <v>1219</v>
      </c>
      <c r="S34" s="52">
        <v>1625</v>
      </c>
      <c r="T34" s="52">
        <v>406</v>
      </c>
      <c r="U34" s="52">
        <v>813</v>
      </c>
      <c r="V34" s="52">
        <v>1219</v>
      </c>
      <c r="W34" s="52">
        <v>1625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/>
      <c r="AE34" s="52"/>
      <c r="AF34" s="52"/>
      <c r="AG34" s="52">
        <v>0</v>
      </c>
      <c r="AH34" s="52"/>
      <c r="AI34" s="52"/>
      <c r="AJ34" s="52"/>
      <c r="AL34" s="52"/>
      <c r="AM34" s="52">
        <f t="shared" si="63"/>
        <v>0</v>
      </c>
      <c r="AN34" s="52">
        <f t="shared" si="63"/>
        <v>0</v>
      </c>
      <c r="AO34" s="52">
        <f t="shared" si="63"/>
        <v>-6502</v>
      </c>
      <c r="AP34" s="52">
        <v>406</v>
      </c>
      <c r="AQ34" s="52">
        <f t="shared" si="64"/>
        <v>407</v>
      </c>
      <c r="AR34" s="52">
        <f t="shared" si="64"/>
        <v>406</v>
      </c>
      <c r="AS34" s="52">
        <f t="shared" si="64"/>
        <v>-9913</v>
      </c>
      <c r="AT34" s="52">
        <v>406</v>
      </c>
      <c r="AU34" s="52">
        <f t="shared" si="65"/>
        <v>407</v>
      </c>
      <c r="AV34" s="52">
        <f t="shared" si="65"/>
        <v>7665</v>
      </c>
      <c r="AW34" s="52">
        <f t="shared" si="65"/>
        <v>3467</v>
      </c>
      <c r="AX34" s="52">
        <v>406</v>
      </c>
      <c r="AY34" s="52">
        <f t="shared" si="66"/>
        <v>407</v>
      </c>
      <c r="AZ34" s="52">
        <f t="shared" si="66"/>
        <v>406</v>
      </c>
      <c r="BA34" s="52">
        <f t="shared" si="66"/>
        <v>406</v>
      </c>
      <c r="BB34" s="52">
        <f t="shared" si="67"/>
        <v>406</v>
      </c>
      <c r="BC34" s="52">
        <f t="shared" si="68"/>
        <v>407</v>
      </c>
      <c r="BD34" s="52">
        <f t="shared" si="68"/>
        <v>406</v>
      </c>
      <c r="BE34" s="52">
        <f t="shared" si="69"/>
        <v>406</v>
      </c>
      <c r="BF34" s="52">
        <f t="shared" si="70"/>
        <v>0</v>
      </c>
      <c r="BG34" s="52">
        <f t="shared" si="71"/>
        <v>0</v>
      </c>
      <c r="BH34" s="52">
        <f t="shared" si="71"/>
        <v>0</v>
      </c>
      <c r="BI34" s="52">
        <f t="shared" si="71"/>
        <v>0</v>
      </c>
      <c r="BJ34" s="52">
        <f t="shared" si="72"/>
        <v>0</v>
      </c>
      <c r="BK34" s="52">
        <f t="shared" si="73"/>
        <v>0</v>
      </c>
      <c r="BL34" s="52">
        <f t="shared" si="74"/>
        <v>0</v>
      </c>
      <c r="BM34" s="52">
        <f t="shared" si="75"/>
        <v>0</v>
      </c>
      <c r="BN34" s="52">
        <f t="shared" si="76"/>
        <v>0</v>
      </c>
      <c r="BO34" s="52">
        <f t="shared" si="77"/>
        <v>0</v>
      </c>
      <c r="BP34" s="52">
        <f t="shared" si="78"/>
        <v>0</v>
      </c>
      <c r="BQ34" s="52">
        <f t="shared" si="79"/>
        <v>0</v>
      </c>
      <c r="BR34" s="52">
        <f t="shared" si="80"/>
        <v>0</v>
      </c>
    </row>
    <row r="35" spans="2:70" ht="12" customHeight="1" x14ac:dyDescent="0.2">
      <c r="B35" s="51"/>
      <c r="C35" s="67" t="s">
        <v>147</v>
      </c>
      <c r="D35" s="52">
        <v>32962</v>
      </c>
      <c r="E35" s="52">
        <v>27094</v>
      </c>
      <c r="F35" s="52">
        <v>35777</v>
      </c>
      <c r="G35" s="52">
        <v>22483</v>
      </c>
      <c r="H35" s="52">
        <v>1963</v>
      </c>
      <c r="I35" s="52">
        <v>8559</v>
      </c>
      <c r="J35" s="52">
        <v>-15245</v>
      </c>
      <c r="K35" s="52">
        <v>-4716</v>
      </c>
      <c r="L35" s="52">
        <v>-4609</v>
      </c>
      <c r="M35" s="52">
        <v>-8395</v>
      </c>
      <c r="N35" s="52">
        <v>-11585</v>
      </c>
      <c r="O35" s="52">
        <v>19072</v>
      </c>
      <c r="P35" s="52">
        <v>-14287</v>
      </c>
      <c r="Q35" s="52">
        <v>-13727</v>
      </c>
      <c r="R35" s="52">
        <v>-12257</v>
      </c>
      <c r="S35" s="52">
        <v>1552</v>
      </c>
      <c r="T35" s="52">
        <v>-14613</v>
      </c>
      <c r="U35" s="52">
        <v>-45203</v>
      </c>
      <c r="V35" s="52">
        <v>-40423</v>
      </c>
      <c r="W35" s="52">
        <v>-49607</v>
      </c>
      <c r="X35" s="52">
        <v>-7375</v>
      </c>
      <c r="Y35" s="52">
        <v>13248</v>
      </c>
      <c r="Z35" s="52">
        <v>-19550</v>
      </c>
      <c r="AA35" s="52">
        <v>10624</v>
      </c>
      <c r="AB35" s="52">
        <v>-26639</v>
      </c>
      <c r="AC35" s="52">
        <v>-25302</v>
      </c>
      <c r="AD35" s="52">
        <v>-10332</v>
      </c>
      <c r="AE35" s="52">
        <v>-8434</v>
      </c>
      <c r="AF35" s="52">
        <v>5577</v>
      </c>
      <c r="AG35" s="52">
        <v>30202</v>
      </c>
      <c r="AH35" s="52">
        <v>7856</v>
      </c>
      <c r="AI35" s="52">
        <v>-9488</v>
      </c>
      <c r="AJ35" s="52">
        <v>-22890</v>
      </c>
      <c r="AL35" s="52">
        <v>32962</v>
      </c>
      <c r="AM35" s="52">
        <f t="shared" si="63"/>
        <v>-5868</v>
      </c>
      <c r="AN35" s="52">
        <f t="shared" si="63"/>
        <v>8683</v>
      </c>
      <c r="AO35" s="52">
        <f t="shared" si="63"/>
        <v>-13294</v>
      </c>
      <c r="AP35" s="52">
        <v>1963</v>
      </c>
      <c r="AQ35" s="52">
        <f t="shared" si="64"/>
        <v>6596</v>
      </c>
      <c r="AR35" s="52">
        <f t="shared" si="64"/>
        <v>-23804</v>
      </c>
      <c r="AS35" s="52">
        <f t="shared" si="64"/>
        <v>10529</v>
      </c>
      <c r="AT35" s="52">
        <v>-4609</v>
      </c>
      <c r="AU35" s="52">
        <f t="shared" si="65"/>
        <v>-3786</v>
      </c>
      <c r="AV35" s="52">
        <f t="shared" si="65"/>
        <v>-3190</v>
      </c>
      <c r="AW35" s="52">
        <f t="shared" si="65"/>
        <v>30657</v>
      </c>
      <c r="AX35" s="52">
        <v>-14287</v>
      </c>
      <c r="AY35" s="52">
        <f t="shared" si="66"/>
        <v>560</v>
      </c>
      <c r="AZ35" s="52">
        <f t="shared" si="66"/>
        <v>1470</v>
      </c>
      <c r="BA35" s="52">
        <f t="shared" si="66"/>
        <v>13809</v>
      </c>
      <c r="BB35" s="52">
        <f t="shared" si="67"/>
        <v>-14613</v>
      </c>
      <c r="BC35" s="52">
        <f t="shared" si="68"/>
        <v>-30590</v>
      </c>
      <c r="BD35" s="52">
        <f t="shared" si="68"/>
        <v>4780</v>
      </c>
      <c r="BE35" s="52">
        <f t="shared" si="69"/>
        <v>-9184</v>
      </c>
      <c r="BF35" s="52">
        <f t="shared" si="70"/>
        <v>-7375</v>
      </c>
      <c r="BG35" s="52">
        <f t="shared" si="71"/>
        <v>20623</v>
      </c>
      <c r="BH35" s="52">
        <f t="shared" si="71"/>
        <v>-32798</v>
      </c>
      <c r="BI35" s="52">
        <f t="shared" si="71"/>
        <v>30174</v>
      </c>
      <c r="BJ35" s="52">
        <f t="shared" si="72"/>
        <v>-26639</v>
      </c>
      <c r="BK35" s="52">
        <f t="shared" si="73"/>
        <v>1337</v>
      </c>
      <c r="BL35" s="52">
        <f t="shared" si="74"/>
        <v>14970</v>
      </c>
      <c r="BM35" s="52">
        <f t="shared" si="75"/>
        <v>1898</v>
      </c>
      <c r="BN35" s="52">
        <f t="shared" si="76"/>
        <v>5577</v>
      </c>
      <c r="BO35" s="52">
        <f t="shared" si="77"/>
        <v>24625</v>
      </c>
      <c r="BP35" s="52">
        <f t="shared" si="78"/>
        <v>-22346</v>
      </c>
      <c r="BQ35" s="52">
        <f t="shared" si="79"/>
        <v>-17344</v>
      </c>
      <c r="BR35" s="52">
        <f t="shared" si="80"/>
        <v>-22890</v>
      </c>
    </row>
    <row r="36" spans="2:70" ht="12" customHeight="1" x14ac:dyDescent="0.2">
      <c r="B36" s="51"/>
      <c r="C36" s="67" t="s">
        <v>352</v>
      </c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>
        <v>-2109</v>
      </c>
      <c r="AF36" s="52">
        <v>-4950</v>
      </c>
      <c r="AG36" s="52">
        <v>-6210</v>
      </c>
      <c r="AH36" s="52">
        <v>-3431</v>
      </c>
      <c r="AI36" s="52">
        <v>-788</v>
      </c>
      <c r="AJ36" s="52">
        <v>-8073</v>
      </c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>
        <f t="shared" si="76"/>
        <v>-4950</v>
      </c>
      <c r="BO36" s="52">
        <f t="shared" si="77"/>
        <v>-1260</v>
      </c>
      <c r="BP36" s="52">
        <f t="shared" si="78"/>
        <v>2779</v>
      </c>
      <c r="BQ36" s="52">
        <f t="shared" si="79"/>
        <v>2643</v>
      </c>
      <c r="BR36" s="52">
        <f t="shared" si="80"/>
        <v>-8073</v>
      </c>
    </row>
    <row r="37" spans="2:70" ht="12" customHeight="1" x14ac:dyDescent="0.2">
      <c r="B37" s="51"/>
      <c r="C37" s="67" t="s">
        <v>148</v>
      </c>
      <c r="D37" s="52">
        <v>-9190</v>
      </c>
      <c r="E37" s="52">
        <v>14090</v>
      </c>
      <c r="F37" s="52">
        <v>11373</v>
      </c>
      <c r="G37" s="52">
        <v>12778</v>
      </c>
      <c r="H37" s="52">
        <v>239</v>
      </c>
      <c r="I37" s="52">
        <v>-8696</v>
      </c>
      <c r="J37" s="52">
        <v>7372</v>
      </c>
      <c r="K37" s="52">
        <v>11030</v>
      </c>
      <c r="L37" s="52">
        <v>18726</v>
      </c>
      <c r="M37" s="52">
        <v>5936</v>
      </c>
      <c r="N37" s="52">
        <v>4364</v>
      </c>
      <c r="O37" s="52">
        <v>-21440</v>
      </c>
      <c r="P37" s="52">
        <v>27443</v>
      </c>
      <c r="Q37" s="52">
        <v>32635</v>
      </c>
      <c r="R37" s="52">
        <v>23008</v>
      </c>
      <c r="S37" s="52">
        <v>25245</v>
      </c>
      <c r="T37" s="52">
        <v>30217</v>
      </c>
      <c r="U37" s="52">
        <v>33508</v>
      </c>
      <c r="V37" s="52">
        <v>24844</v>
      </c>
      <c r="W37" s="52">
        <v>38617</v>
      </c>
      <c r="X37" s="52">
        <v>10407</v>
      </c>
      <c r="Y37" s="52">
        <v>-14597</v>
      </c>
      <c r="Z37" s="52">
        <v>-16045</v>
      </c>
      <c r="AA37" s="52">
        <v>-27050</v>
      </c>
      <c r="AB37" s="52">
        <v>11814</v>
      </c>
      <c r="AC37" s="52">
        <v>12141</v>
      </c>
      <c r="AD37" s="52">
        <v>-8708</v>
      </c>
      <c r="AE37" s="52">
        <v>-18739</v>
      </c>
      <c r="AF37" s="52">
        <v>23175</v>
      </c>
      <c r="AG37" s="52">
        <v>2503</v>
      </c>
      <c r="AH37" s="52">
        <v>9134</v>
      </c>
      <c r="AI37" s="52">
        <v>10443</v>
      </c>
      <c r="AJ37" s="52">
        <v>23979</v>
      </c>
      <c r="AL37" s="52">
        <v>-9190</v>
      </c>
      <c r="AM37" s="52">
        <f>E37-D37</f>
        <v>23280</v>
      </c>
      <c r="AN37" s="52">
        <f>F37-E37</f>
        <v>-2717</v>
      </c>
      <c r="AO37" s="52">
        <f>G37-F37</f>
        <v>1405</v>
      </c>
      <c r="AP37" s="52">
        <v>239</v>
      </c>
      <c r="AQ37" s="52">
        <f>I37-H37</f>
        <v>-8935</v>
      </c>
      <c r="AR37" s="52">
        <f>J37-I37</f>
        <v>16068</v>
      </c>
      <c r="AS37" s="52">
        <f>K37-J37</f>
        <v>3658</v>
      </c>
      <c r="AT37" s="52">
        <v>18726</v>
      </c>
      <c r="AU37" s="52">
        <f>M37-L37</f>
        <v>-12790</v>
      </c>
      <c r="AV37" s="52">
        <f>N37-M37</f>
        <v>-1572</v>
      </c>
      <c r="AW37" s="52">
        <f>O37-N37</f>
        <v>-25804</v>
      </c>
      <c r="AX37" s="52">
        <v>27443</v>
      </c>
      <c r="AY37" s="52">
        <f>Q37-P37</f>
        <v>5192</v>
      </c>
      <c r="AZ37" s="52">
        <f>R37-Q37</f>
        <v>-9627</v>
      </c>
      <c r="BA37" s="52">
        <f>S37-R37</f>
        <v>2237</v>
      </c>
      <c r="BB37" s="52">
        <f t="shared" si="67"/>
        <v>30217</v>
      </c>
      <c r="BC37" s="52">
        <f>U37-T37</f>
        <v>3291</v>
      </c>
      <c r="BD37" s="52">
        <f>V37-U37</f>
        <v>-8664</v>
      </c>
      <c r="BE37" s="52">
        <f t="shared" si="69"/>
        <v>13773</v>
      </c>
      <c r="BF37" s="52">
        <f t="shared" si="70"/>
        <v>10407</v>
      </c>
      <c r="BG37" s="52">
        <f>Y37-X37</f>
        <v>-25004</v>
      </c>
      <c r="BH37" s="52">
        <f>Z37-Y37</f>
        <v>-1448</v>
      </c>
      <c r="BI37" s="52">
        <f>AA37-Z37</f>
        <v>-11005</v>
      </c>
      <c r="BJ37" s="52">
        <f t="shared" si="72"/>
        <v>11814</v>
      </c>
      <c r="BK37" s="52">
        <f t="shared" si="73"/>
        <v>327</v>
      </c>
      <c r="BL37" s="52">
        <f t="shared" si="74"/>
        <v>-20849</v>
      </c>
      <c r="BM37" s="52">
        <f t="shared" si="75"/>
        <v>-10031</v>
      </c>
      <c r="BN37" s="52">
        <f t="shared" si="76"/>
        <v>23175</v>
      </c>
      <c r="BO37" s="52">
        <f t="shared" si="77"/>
        <v>-20672</v>
      </c>
      <c r="BP37" s="52">
        <f t="shared" si="78"/>
        <v>6631</v>
      </c>
      <c r="BQ37" s="52">
        <f t="shared" si="79"/>
        <v>1309</v>
      </c>
      <c r="BR37" s="52">
        <f t="shared" si="80"/>
        <v>23979</v>
      </c>
    </row>
    <row r="38" spans="2:70" ht="12" customHeight="1" x14ac:dyDescent="0.2">
      <c r="B38" s="51"/>
      <c r="C38" s="67" t="s">
        <v>353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>
        <v>0</v>
      </c>
      <c r="AF38" s="52">
        <v>0</v>
      </c>
      <c r="AG38" s="52"/>
      <c r="AH38" s="52"/>
      <c r="AI38" s="52"/>
      <c r="AJ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>
        <f t="shared" si="76"/>
        <v>0</v>
      </c>
      <c r="BO38" s="52">
        <f t="shared" si="77"/>
        <v>0</v>
      </c>
      <c r="BP38" s="52">
        <f t="shared" si="78"/>
        <v>0</v>
      </c>
      <c r="BQ38" s="52">
        <f t="shared" si="79"/>
        <v>0</v>
      </c>
      <c r="BR38" s="52">
        <f t="shared" si="80"/>
        <v>0</v>
      </c>
    </row>
    <row r="39" spans="2:70" ht="12" customHeight="1" x14ac:dyDescent="0.2">
      <c r="B39" s="51"/>
      <c r="C39" s="67" t="s">
        <v>149</v>
      </c>
      <c r="D39" s="52">
        <v>-2130</v>
      </c>
      <c r="E39" s="52">
        <v>-14163</v>
      </c>
      <c r="F39" s="52">
        <v>-16700</v>
      </c>
      <c r="G39" s="52">
        <v>-16521</v>
      </c>
      <c r="H39" s="52">
        <v>15</v>
      </c>
      <c r="I39" s="52">
        <v>977</v>
      </c>
      <c r="J39" s="52">
        <v>6191</v>
      </c>
      <c r="K39" s="52">
        <v>9503</v>
      </c>
      <c r="L39" s="52">
        <v>1488</v>
      </c>
      <c r="M39" s="52">
        <v>1439</v>
      </c>
      <c r="N39" s="52">
        <v>4172</v>
      </c>
      <c r="O39" s="52">
        <v>851</v>
      </c>
      <c r="P39" s="52">
        <v>183</v>
      </c>
      <c r="Q39" s="52">
        <v>-564</v>
      </c>
      <c r="R39" s="52">
        <v>-4882</v>
      </c>
      <c r="S39" s="52">
        <v>-7063</v>
      </c>
      <c r="T39" s="52">
        <v>2207</v>
      </c>
      <c r="U39" s="52">
        <v>-2377</v>
      </c>
      <c r="V39" s="52">
        <v>-2563</v>
      </c>
      <c r="W39" s="52">
        <v>-1423</v>
      </c>
      <c r="X39" s="52">
        <v>5040</v>
      </c>
      <c r="Y39" s="52">
        <v>5568</v>
      </c>
      <c r="Z39" s="52">
        <v>4285</v>
      </c>
      <c r="AA39" s="52">
        <v>6788</v>
      </c>
      <c r="AB39" s="52">
        <v>682</v>
      </c>
      <c r="AC39" s="52">
        <v>8818</v>
      </c>
      <c r="AD39" s="52">
        <v>12273</v>
      </c>
      <c r="AE39" s="52">
        <v>19005</v>
      </c>
      <c r="AF39" s="52">
        <v>3935</v>
      </c>
      <c r="AG39" s="52">
        <v>-3087</v>
      </c>
      <c r="AH39" s="52">
        <v>2871</v>
      </c>
      <c r="AI39" s="52">
        <v>11819</v>
      </c>
      <c r="AJ39" s="52">
        <v>3952</v>
      </c>
      <c r="AL39" s="52">
        <v>-2130</v>
      </c>
      <c r="AM39" s="52">
        <f t="shared" ref="AM39:AO40" si="81">E39-D39</f>
        <v>-12033</v>
      </c>
      <c r="AN39" s="52">
        <f t="shared" si="81"/>
        <v>-2537</v>
      </c>
      <c r="AO39" s="52">
        <f t="shared" si="81"/>
        <v>179</v>
      </c>
      <c r="AP39" s="52">
        <v>15</v>
      </c>
      <c r="AQ39" s="52">
        <f t="shared" ref="AQ39:AS40" si="82">I39-H39</f>
        <v>962</v>
      </c>
      <c r="AR39" s="52">
        <f t="shared" si="82"/>
        <v>5214</v>
      </c>
      <c r="AS39" s="52">
        <f t="shared" si="82"/>
        <v>3312</v>
      </c>
      <c r="AT39" s="52">
        <v>1488</v>
      </c>
      <c r="AU39" s="52">
        <f t="shared" ref="AU39:AW40" si="83">M39-L39</f>
        <v>-49</v>
      </c>
      <c r="AV39" s="52">
        <f t="shared" si="83"/>
        <v>2733</v>
      </c>
      <c r="AW39" s="52">
        <f t="shared" si="83"/>
        <v>-3321</v>
      </c>
      <c r="AX39" s="52">
        <v>183</v>
      </c>
      <c r="AY39" s="52">
        <f t="shared" ref="AY39:BA40" si="84">Q39-P39</f>
        <v>-747</v>
      </c>
      <c r="AZ39" s="52">
        <f t="shared" si="84"/>
        <v>-4318</v>
      </c>
      <c r="BA39" s="52">
        <f t="shared" si="84"/>
        <v>-2181</v>
      </c>
      <c r="BB39" s="52">
        <f t="shared" si="67"/>
        <v>2207</v>
      </c>
      <c r="BC39" s="52">
        <f>U39-T39</f>
        <v>-4584</v>
      </c>
      <c r="BD39" s="52">
        <f>V39-U39</f>
        <v>-186</v>
      </c>
      <c r="BE39" s="52">
        <f t="shared" si="69"/>
        <v>1140</v>
      </c>
      <c r="BF39" s="52">
        <f t="shared" si="70"/>
        <v>5040</v>
      </c>
      <c r="BG39" s="52">
        <f t="shared" ref="BG39:BI40" si="85">Y39-X39</f>
        <v>528</v>
      </c>
      <c r="BH39" s="52">
        <f t="shared" si="85"/>
        <v>-1283</v>
      </c>
      <c r="BI39" s="52">
        <f t="shared" si="85"/>
        <v>2503</v>
      </c>
      <c r="BJ39" s="52">
        <f t="shared" si="72"/>
        <v>682</v>
      </c>
      <c r="BK39" s="52">
        <f t="shared" si="73"/>
        <v>8136</v>
      </c>
      <c r="BL39" s="52">
        <f t="shared" si="74"/>
        <v>3455</v>
      </c>
      <c r="BM39" s="52">
        <f t="shared" si="75"/>
        <v>6732</v>
      </c>
      <c r="BN39" s="52">
        <f t="shared" si="76"/>
        <v>3935</v>
      </c>
      <c r="BO39" s="52">
        <f t="shared" si="77"/>
        <v>-7022</v>
      </c>
      <c r="BP39" s="52">
        <f t="shared" si="78"/>
        <v>5958</v>
      </c>
      <c r="BQ39" s="52">
        <f t="shared" si="79"/>
        <v>8948</v>
      </c>
      <c r="BR39" s="52">
        <f t="shared" si="80"/>
        <v>3952</v>
      </c>
    </row>
    <row r="40" spans="2:70" ht="12" customHeight="1" x14ac:dyDescent="0.2">
      <c r="B40" s="51"/>
      <c r="C40" s="67" t="s">
        <v>150</v>
      </c>
      <c r="D40" s="52">
        <v>0</v>
      </c>
      <c r="E40" s="52">
        <v>0</v>
      </c>
      <c r="F40" s="52">
        <v>0</v>
      </c>
      <c r="G40" s="52">
        <v>-604</v>
      </c>
      <c r="H40" s="52">
        <v>87</v>
      </c>
      <c r="I40" s="52">
        <v>412</v>
      </c>
      <c r="J40" s="52">
        <v>186</v>
      </c>
      <c r="K40" s="52">
        <v>270</v>
      </c>
      <c r="L40" s="52">
        <v>-54</v>
      </c>
      <c r="M40" s="52">
        <v>62</v>
      </c>
      <c r="N40" s="52">
        <v>36</v>
      </c>
      <c r="O40" s="52">
        <v>-347</v>
      </c>
      <c r="P40" s="52">
        <v>20</v>
      </c>
      <c r="Q40" s="52">
        <v>107</v>
      </c>
      <c r="R40" s="52">
        <v>294</v>
      </c>
      <c r="S40" s="52">
        <v>223</v>
      </c>
      <c r="T40" s="52">
        <v>-419</v>
      </c>
      <c r="U40" s="52">
        <v>-121</v>
      </c>
      <c r="V40" s="52">
        <v>556</v>
      </c>
      <c r="W40" s="52">
        <v>556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/>
      <c r="AD40" s="52"/>
      <c r="AE40" s="52"/>
      <c r="AF40" s="52"/>
      <c r="AG40" s="52"/>
      <c r="AH40" s="52"/>
      <c r="AI40" s="52"/>
      <c r="AJ40" s="52"/>
      <c r="AL40" s="52">
        <v>0</v>
      </c>
      <c r="AM40" s="52">
        <f t="shared" si="81"/>
        <v>0</v>
      </c>
      <c r="AN40" s="52">
        <f t="shared" si="81"/>
        <v>0</v>
      </c>
      <c r="AO40" s="52">
        <f t="shared" si="81"/>
        <v>-604</v>
      </c>
      <c r="AP40" s="52">
        <v>87</v>
      </c>
      <c r="AQ40" s="52">
        <f t="shared" si="82"/>
        <v>325</v>
      </c>
      <c r="AR40" s="52">
        <f t="shared" si="82"/>
        <v>-226</v>
      </c>
      <c r="AS40" s="52">
        <f t="shared" si="82"/>
        <v>84</v>
      </c>
      <c r="AT40" s="52">
        <v>-54</v>
      </c>
      <c r="AU40" s="52">
        <f t="shared" si="83"/>
        <v>116</v>
      </c>
      <c r="AV40" s="52">
        <f t="shared" si="83"/>
        <v>-26</v>
      </c>
      <c r="AW40" s="52">
        <f t="shared" si="83"/>
        <v>-383</v>
      </c>
      <c r="AX40" s="52">
        <v>20</v>
      </c>
      <c r="AY40" s="52">
        <f t="shared" si="84"/>
        <v>87</v>
      </c>
      <c r="AZ40" s="52">
        <f t="shared" si="84"/>
        <v>187</v>
      </c>
      <c r="BA40" s="52">
        <f t="shared" si="84"/>
        <v>-71</v>
      </c>
      <c r="BB40" s="52">
        <f t="shared" si="67"/>
        <v>-419</v>
      </c>
      <c r="BC40" s="52">
        <f>U40-T40</f>
        <v>298</v>
      </c>
      <c r="BD40" s="52">
        <f>V40-U40</f>
        <v>677</v>
      </c>
      <c r="BE40" s="52">
        <f t="shared" si="69"/>
        <v>0</v>
      </c>
      <c r="BF40" s="52">
        <f t="shared" si="70"/>
        <v>0</v>
      </c>
      <c r="BG40" s="52">
        <f t="shared" si="85"/>
        <v>0</v>
      </c>
      <c r="BH40" s="52">
        <f t="shared" si="85"/>
        <v>0</v>
      </c>
      <c r="BI40" s="52">
        <f t="shared" si="85"/>
        <v>0</v>
      </c>
      <c r="BJ40" s="52">
        <f t="shared" si="72"/>
        <v>0</v>
      </c>
      <c r="BK40" s="52">
        <f t="shared" si="73"/>
        <v>0</v>
      </c>
      <c r="BL40" s="52">
        <f t="shared" si="74"/>
        <v>0</v>
      </c>
      <c r="BM40" s="52">
        <f t="shared" si="75"/>
        <v>0</v>
      </c>
      <c r="BN40" s="52">
        <f t="shared" si="76"/>
        <v>0</v>
      </c>
      <c r="BO40" s="52">
        <f t="shared" si="77"/>
        <v>0</v>
      </c>
      <c r="BP40" s="52">
        <f t="shared" si="78"/>
        <v>0</v>
      </c>
      <c r="BQ40" s="52">
        <f t="shared" si="79"/>
        <v>0</v>
      </c>
      <c r="BR40" s="52">
        <f t="shared" si="80"/>
        <v>0</v>
      </c>
    </row>
    <row r="41" spans="2:70" ht="12" customHeight="1" x14ac:dyDescent="0.2">
      <c r="B41" s="51"/>
      <c r="C41" s="67" t="s">
        <v>340</v>
      </c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>
        <v>198</v>
      </c>
      <c r="AD41" s="52">
        <v>1533</v>
      </c>
      <c r="AE41" s="52"/>
      <c r="AF41" s="52"/>
      <c r="AG41" s="52"/>
      <c r="AH41" s="52"/>
      <c r="AI41" s="52"/>
      <c r="AJ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>
        <f t="shared" si="73"/>
        <v>198</v>
      </c>
      <c r="BL41" s="52">
        <f t="shared" si="74"/>
        <v>1335</v>
      </c>
      <c r="BM41" s="52">
        <f t="shared" si="75"/>
        <v>-1533</v>
      </c>
      <c r="BN41" s="52">
        <f t="shared" si="76"/>
        <v>0</v>
      </c>
      <c r="BO41" s="52">
        <f t="shared" si="77"/>
        <v>0</v>
      </c>
      <c r="BP41" s="52">
        <f t="shared" si="78"/>
        <v>0</v>
      </c>
      <c r="BQ41" s="52">
        <f t="shared" si="79"/>
        <v>0</v>
      </c>
      <c r="BR41" s="52">
        <f t="shared" si="80"/>
        <v>0</v>
      </c>
    </row>
    <row r="42" spans="2:70" ht="12" customHeight="1" x14ac:dyDescent="0.2">
      <c r="B42" s="51"/>
      <c r="C42" s="67" t="s">
        <v>151</v>
      </c>
      <c r="D42" s="52">
        <v>-3500</v>
      </c>
      <c r="E42" s="52">
        <v>-2652</v>
      </c>
      <c r="F42" s="52">
        <v>-1447</v>
      </c>
      <c r="G42" s="52">
        <v>-244</v>
      </c>
      <c r="H42" s="52">
        <v>-3710</v>
      </c>
      <c r="I42" s="52">
        <v>-619</v>
      </c>
      <c r="J42" s="52">
        <v>-496</v>
      </c>
      <c r="K42" s="52">
        <v>-2167</v>
      </c>
      <c r="L42" s="52">
        <v>-2713</v>
      </c>
      <c r="M42" s="52">
        <v>-907</v>
      </c>
      <c r="N42" s="52">
        <v>-270</v>
      </c>
      <c r="O42" s="52">
        <v>764</v>
      </c>
      <c r="P42" s="52">
        <v>-3381</v>
      </c>
      <c r="Q42" s="52">
        <v>-1994</v>
      </c>
      <c r="R42" s="52">
        <v>-1897</v>
      </c>
      <c r="S42" s="52">
        <v>-1629</v>
      </c>
      <c r="T42" s="52">
        <v>-1501</v>
      </c>
      <c r="U42" s="52">
        <v>-923</v>
      </c>
      <c r="V42" s="52">
        <v>-389</v>
      </c>
      <c r="W42" s="52">
        <v>666</v>
      </c>
      <c r="X42" s="52">
        <v>-3326</v>
      </c>
      <c r="Y42" s="52">
        <v>-2056</v>
      </c>
      <c r="Z42" s="52">
        <v>-1450</v>
      </c>
      <c r="AA42" s="52">
        <v>81</v>
      </c>
      <c r="AB42" s="52">
        <v>-4032</v>
      </c>
      <c r="AC42" s="52">
        <v>-6442</v>
      </c>
      <c r="AD42" s="52">
        <v>-14961</v>
      </c>
      <c r="AE42" s="52"/>
      <c r="AF42" s="52"/>
      <c r="AG42" s="52"/>
      <c r="AH42" s="52"/>
      <c r="AI42" s="52"/>
      <c r="AJ42" s="52"/>
      <c r="AL42" s="52">
        <v>-3500</v>
      </c>
      <c r="AM42" s="52">
        <f t="shared" ref="AM42:AO43" si="86">E42-D42</f>
        <v>848</v>
      </c>
      <c r="AN42" s="52">
        <f t="shared" si="86"/>
        <v>1205</v>
      </c>
      <c r="AO42" s="52">
        <f t="shared" si="86"/>
        <v>1203</v>
      </c>
      <c r="AP42" s="52">
        <v>-3710</v>
      </c>
      <c r="AQ42" s="52">
        <f t="shared" ref="AQ42:AS43" si="87">I42-H42</f>
        <v>3091</v>
      </c>
      <c r="AR42" s="52">
        <f t="shared" si="87"/>
        <v>123</v>
      </c>
      <c r="AS42" s="52">
        <f t="shared" si="87"/>
        <v>-1671</v>
      </c>
      <c r="AT42" s="52">
        <v>-2713</v>
      </c>
      <c r="AU42" s="52">
        <f t="shared" ref="AU42:AW43" si="88">M42-L42</f>
        <v>1806</v>
      </c>
      <c r="AV42" s="52">
        <f t="shared" si="88"/>
        <v>637</v>
      </c>
      <c r="AW42" s="52">
        <f t="shared" si="88"/>
        <v>1034</v>
      </c>
      <c r="AX42" s="52">
        <v>-3381</v>
      </c>
      <c r="AY42" s="52">
        <f t="shared" ref="AY42:BA43" si="89">Q42-P42</f>
        <v>1387</v>
      </c>
      <c r="AZ42" s="52">
        <f t="shared" si="89"/>
        <v>97</v>
      </c>
      <c r="BA42" s="52">
        <f t="shared" si="89"/>
        <v>268</v>
      </c>
      <c r="BB42" s="52">
        <f t="shared" si="67"/>
        <v>-1501</v>
      </c>
      <c r="BC42" s="52">
        <f>U42-T42</f>
        <v>578</v>
      </c>
      <c r="BD42" s="52">
        <f>V42-U42</f>
        <v>534</v>
      </c>
      <c r="BE42" s="52">
        <f t="shared" si="69"/>
        <v>1055</v>
      </c>
      <c r="BF42" s="52">
        <f t="shared" si="70"/>
        <v>-3326</v>
      </c>
      <c r="BG42" s="52">
        <f t="shared" ref="BG42:BI43" si="90">Y42-X42</f>
        <v>1270</v>
      </c>
      <c r="BH42" s="52">
        <f t="shared" si="90"/>
        <v>606</v>
      </c>
      <c r="BI42" s="52">
        <f t="shared" si="90"/>
        <v>1531</v>
      </c>
      <c r="BJ42" s="52">
        <f t="shared" si="72"/>
        <v>-4032</v>
      </c>
      <c r="BK42" s="52">
        <f t="shared" si="73"/>
        <v>-2410</v>
      </c>
      <c r="BL42" s="52">
        <f t="shared" si="74"/>
        <v>-8519</v>
      </c>
      <c r="BM42" s="52">
        <f>AE42-AD42+BM91</f>
        <v>22678</v>
      </c>
      <c r="BN42" s="52">
        <f t="shared" si="76"/>
        <v>0</v>
      </c>
      <c r="BO42" s="52">
        <f t="shared" si="77"/>
        <v>0</v>
      </c>
      <c r="BP42" s="52">
        <f t="shared" si="78"/>
        <v>0</v>
      </c>
      <c r="BQ42" s="52">
        <f t="shared" si="79"/>
        <v>0</v>
      </c>
      <c r="BR42" s="52">
        <f t="shared" si="80"/>
        <v>0</v>
      </c>
    </row>
    <row r="43" spans="2:70" ht="12" customHeight="1" x14ac:dyDescent="0.2">
      <c r="B43" s="51"/>
      <c r="C43" s="67" t="s">
        <v>143</v>
      </c>
      <c r="D43" s="52">
        <v>298</v>
      </c>
      <c r="E43" s="52">
        <v>474</v>
      </c>
      <c r="F43" s="52">
        <v>173</v>
      </c>
      <c r="G43" s="52">
        <v>0</v>
      </c>
      <c r="H43" s="52"/>
      <c r="I43" s="52">
        <v>-11</v>
      </c>
      <c r="J43" s="52">
        <v>0</v>
      </c>
      <c r="K43" s="52">
        <v>0</v>
      </c>
      <c r="L43" s="52">
        <v>0</v>
      </c>
      <c r="M43" s="52">
        <v>-266</v>
      </c>
      <c r="N43" s="52">
        <v>-167</v>
      </c>
      <c r="O43" s="52">
        <v>0</v>
      </c>
      <c r="P43" s="52">
        <v>0</v>
      </c>
      <c r="Q43" s="52">
        <v>-120</v>
      </c>
      <c r="R43" s="52">
        <v>2297</v>
      </c>
      <c r="S43" s="52">
        <v>0</v>
      </c>
      <c r="T43" s="52">
        <v>0</v>
      </c>
      <c r="U43" s="52">
        <v>0</v>
      </c>
      <c r="V43" s="52">
        <v>0</v>
      </c>
      <c r="W43" s="52">
        <v>0</v>
      </c>
      <c r="X43" s="52">
        <v>0</v>
      </c>
      <c r="Y43" s="52">
        <v>0</v>
      </c>
      <c r="Z43" s="52">
        <v>0</v>
      </c>
      <c r="AA43" s="52">
        <v>0</v>
      </c>
      <c r="AB43" s="52">
        <v>0</v>
      </c>
      <c r="AC43" s="52">
        <v>0</v>
      </c>
      <c r="AD43" s="52">
        <v>1022</v>
      </c>
      <c r="AE43" s="52">
        <v>-6</v>
      </c>
      <c r="AF43" s="52"/>
      <c r="AG43" s="52"/>
      <c r="AH43" s="52">
        <v>0</v>
      </c>
      <c r="AI43" s="52">
        <v>0</v>
      </c>
      <c r="AJ43" s="52"/>
      <c r="AL43" s="52">
        <v>298</v>
      </c>
      <c r="AM43" s="52">
        <f t="shared" si="86"/>
        <v>176</v>
      </c>
      <c r="AN43" s="52">
        <f t="shared" si="86"/>
        <v>-301</v>
      </c>
      <c r="AO43" s="52">
        <f t="shared" si="86"/>
        <v>-173</v>
      </c>
      <c r="AP43" s="52"/>
      <c r="AQ43" s="52">
        <f t="shared" si="87"/>
        <v>-11</v>
      </c>
      <c r="AR43" s="52">
        <f t="shared" si="87"/>
        <v>11</v>
      </c>
      <c r="AS43" s="52">
        <f t="shared" si="87"/>
        <v>0</v>
      </c>
      <c r="AT43" s="52">
        <v>0</v>
      </c>
      <c r="AU43" s="52">
        <f t="shared" si="88"/>
        <v>-266</v>
      </c>
      <c r="AV43" s="52">
        <f t="shared" si="88"/>
        <v>99</v>
      </c>
      <c r="AW43" s="52">
        <f t="shared" si="88"/>
        <v>167</v>
      </c>
      <c r="AX43" s="52">
        <v>0</v>
      </c>
      <c r="AY43" s="52">
        <f t="shared" si="89"/>
        <v>-120</v>
      </c>
      <c r="AZ43" s="52">
        <f t="shared" si="89"/>
        <v>2417</v>
      </c>
      <c r="BA43" s="52">
        <f t="shared" si="89"/>
        <v>-2297</v>
      </c>
      <c r="BB43" s="52">
        <f t="shared" si="67"/>
        <v>0</v>
      </c>
      <c r="BC43" s="52">
        <f>U43-T43</f>
        <v>0</v>
      </c>
      <c r="BD43" s="52">
        <f>V43-U43</f>
        <v>0</v>
      </c>
      <c r="BE43" s="52">
        <f t="shared" si="69"/>
        <v>0</v>
      </c>
      <c r="BF43" s="52">
        <f t="shared" si="70"/>
        <v>0</v>
      </c>
      <c r="BG43" s="52">
        <f t="shared" si="90"/>
        <v>0</v>
      </c>
      <c r="BH43" s="52">
        <f t="shared" si="90"/>
        <v>0</v>
      </c>
      <c r="BI43" s="52">
        <f t="shared" si="90"/>
        <v>0</v>
      </c>
      <c r="BJ43" s="52">
        <f t="shared" si="72"/>
        <v>0</v>
      </c>
      <c r="BK43" s="52">
        <f t="shared" si="73"/>
        <v>0</v>
      </c>
      <c r="BL43" s="52">
        <f t="shared" si="74"/>
        <v>1022</v>
      </c>
      <c r="BM43" s="52">
        <f t="shared" si="75"/>
        <v>-1028</v>
      </c>
      <c r="BN43" s="52">
        <f t="shared" si="76"/>
        <v>0</v>
      </c>
      <c r="BO43" s="52">
        <f t="shared" si="77"/>
        <v>0</v>
      </c>
      <c r="BP43" s="52">
        <f t="shared" si="78"/>
        <v>0</v>
      </c>
      <c r="BQ43" s="52">
        <f t="shared" si="79"/>
        <v>0</v>
      </c>
      <c r="BR43" s="52">
        <f t="shared" si="80"/>
        <v>0</v>
      </c>
    </row>
    <row r="44" spans="2:70" ht="12" customHeight="1" x14ac:dyDescent="0.2">
      <c r="B44" s="230" t="s">
        <v>152</v>
      </c>
      <c r="C44" s="231"/>
      <c r="D44" s="68">
        <f t="shared" ref="D44:I44" si="91">SUM(D32:D43)</f>
        <v>39017</v>
      </c>
      <c r="E44" s="68">
        <f t="shared" si="91"/>
        <v>51620</v>
      </c>
      <c r="F44" s="68">
        <f t="shared" si="91"/>
        <v>75207</v>
      </c>
      <c r="G44" s="68">
        <f t="shared" si="91"/>
        <v>109007</v>
      </c>
      <c r="H44" s="68">
        <f t="shared" si="91"/>
        <v>23699</v>
      </c>
      <c r="I44" s="68">
        <f t="shared" si="91"/>
        <v>57027</v>
      </c>
      <c r="J44" s="68">
        <f>SUM(J32:J43)</f>
        <v>84269</v>
      </c>
      <c r="K44" s="68">
        <f t="shared" ref="K44:R44" si="92">SUM(K32:K43)</f>
        <v>137920</v>
      </c>
      <c r="L44" s="68">
        <f t="shared" si="92"/>
        <v>42534</v>
      </c>
      <c r="M44" s="68">
        <f t="shared" si="92"/>
        <v>51696</v>
      </c>
      <c r="N44" s="68">
        <f t="shared" si="92"/>
        <v>84829</v>
      </c>
      <c r="O44" s="68">
        <f t="shared" si="92"/>
        <v>140595</v>
      </c>
      <c r="P44" s="68">
        <f t="shared" si="92"/>
        <v>13377</v>
      </c>
      <c r="Q44" s="68">
        <f t="shared" si="92"/>
        <v>17159</v>
      </c>
      <c r="R44" s="68">
        <f t="shared" si="92"/>
        <v>20867</v>
      </c>
      <c r="S44" s="68">
        <f t="shared" ref="S44:AD44" si="93">SUM(S32:S43)</f>
        <v>50774</v>
      </c>
      <c r="T44" s="68">
        <f t="shared" si="93"/>
        <v>9114</v>
      </c>
      <c r="U44" s="68">
        <f t="shared" si="93"/>
        <v>-9014</v>
      </c>
      <c r="V44" s="68">
        <f t="shared" si="93"/>
        <v>15978</v>
      </c>
      <c r="W44" s="68">
        <f t="shared" si="93"/>
        <v>75998</v>
      </c>
      <c r="X44" s="68">
        <f t="shared" si="93"/>
        <v>26288</v>
      </c>
      <c r="Y44" s="68">
        <f t="shared" si="93"/>
        <v>27666</v>
      </c>
      <c r="Z44" s="68">
        <f t="shared" si="93"/>
        <v>28486</v>
      </c>
      <c r="AA44" s="68">
        <f t="shared" si="93"/>
        <v>116081</v>
      </c>
      <c r="AB44" s="68">
        <f t="shared" si="93"/>
        <v>32565</v>
      </c>
      <c r="AC44" s="68">
        <f t="shared" si="93"/>
        <v>91906</v>
      </c>
      <c r="AD44" s="68">
        <f t="shared" si="93"/>
        <v>108301</v>
      </c>
      <c r="AE44" s="68">
        <f t="shared" ref="AE44:AI44" si="94">SUM(AE32:AE43)</f>
        <v>156746</v>
      </c>
      <c r="AF44" s="68">
        <f t="shared" si="94"/>
        <v>48737</v>
      </c>
      <c r="AG44" s="68">
        <f t="shared" si="94"/>
        <v>73060</v>
      </c>
      <c r="AH44" s="68">
        <f t="shared" si="94"/>
        <v>99844</v>
      </c>
      <c r="AI44" s="68">
        <f t="shared" si="94"/>
        <v>139553</v>
      </c>
      <c r="AJ44" s="68">
        <f t="shared" ref="AJ44" si="95">SUM(AJ32:AJ43)</f>
        <v>44855</v>
      </c>
      <c r="AL44" s="68">
        <f t="shared" ref="AL44:AQ44" si="96">SUM(AL32:AL43)</f>
        <v>39017</v>
      </c>
      <c r="AM44" s="68">
        <f t="shared" si="96"/>
        <v>12603</v>
      </c>
      <c r="AN44" s="68">
        <f t="shared" si="96"/>
        <v>23587</v>
      </c>
      <c r="AO44" s="68">
        <f t="shared" si="96"/>
        <v>33800</v>
      </c>
      <c r="AP44" s="68">
        <f t="shared" si="96"/>
        <v>23699</v>
      </c>
      <c r="AQ44" s="68">
        <f t="shared" si="96"/>
        <v>33328</v>
      </c>
      <c r="AR44" s="68">
        <f>SUM(AR32:AR43)</f>
        <v>27242</v>
      </c>
      <c r="AS44" s="68">
        <f t="shared" ref="AS44:AX44" si="97">SUM(AS32:AS43)</f>
        <v>53651</v>
      </c>
      <c r="AT44" s="68">
        <f t="shared" si="97"/>
        <v>42534</v>
      </c>
      <c r="AU44" s="68">
        <f t="shared" si="97"/>
        <v>9162</v>
      </c>
      <c r="AV44" s="68">
        <f t="shared" si="97"/>
        <v>33133</v>
      </c>
      <c r="AW44" s="68">
        <f t="shared" si="97"/>
        <v>55766</v>
      </c>
      <c r="AX44" s="68">
        <f t="shared" si="97"/>
        <v>13377</v>
      </c>
      <c r="AY44" s="68">
        <f t="shared" ref="AY44:AZ44" si="98">SUM(AY32:AY43)</f>
        <v>3782</v>
      </c>
      <c r="AZ44" s="68">
        <f t="shared" si="98"/>
        <v>3708</v>
      </c>
      <c r="BA44" s="68">
        <f t="shared" ref="BA44:BB44" si="99">SUM(BA32:BA43)</f>
        <v>29907</v>
      </c>
      <c r="BB44" s="68">
        <f t="shared" si="99"/>
        <v>9114</v>
      </c>
      <c r="BC44" s="68">
        <f t="shared" ref="BC44:BD44" si="100">SUM(BC32:BC43)</f>
        <v>-18128</v>
      </c>
      <c r="BD44" s="68">
        <f t="shared" si="100"/>
        <v>24992</v>
      </c>
      <c r="BE44" s="68">
        <f t="shared" ref="BE44:BG44" si="101">SUM(BE32:BE43)</f>
        <v>60020</v>
      </c>
      <c r="BF44" s="68">
        <f t="shared" si="101"/>
        <v>26288</v>
      </c>
      <c r="BG44" s="68">
        <f t="shared" si="101"/>
        <v>1378</v>
      </c>
      <c r="BH44" s="68">
        <f t="shared" ref="BH44:BK44" si="102">SUM(BH32:BH43)</f>
        <v>820</v>
      </c>
      <c r="BI44" s="68">
        <f t="shared" si="102"/>
        <v>87595</v>
      </c>
      <c r="BJ44" s="68">
        <f t="shared" si="102"/>
        <v>32565</v>
      </c>
      <c r="BK44" s="68">
        <f t="shared" si="102"/>
        <v>59341</v>
      </c>
      <c r="BL44" s="68">
        <f t="shared" ref="BL44:BO44" si="103">SUM(BL32:BL43)</f>
        <v>16395</v>
      </c>
      <c r="BM44" s="68">
        <f t="shared" si="103"/>
        <v>47399</v>
      </c>
      <c r="BN44" s="68">
        <f t="shared" si="103"/>
        <v>48737</v>
      </c>
      <c r="BO44" s="68">
        <f t="shared" si="103"/>
        <v>24323</v>
      </c>
      <c r="BP44" s="68">
        <f t="shared" ref="BP44:BR44" si="104">SUM(BP32:BP43)</f>
        <v>26784</v>
      </c>
      <c r="BQ44" s="68">
        <f t="shared" si="104"/>
        <v>39709</v>
      </c>
      <c r="BR44" s="68">
        <f t="shared" si="104"/>
        <v>44855</v>
      </c>
    </row>
    <row r="45" spans="2:70" ht="12" customHeight="1" x14ac:dyDescent="0.2">
      <c r="B45" s="51"/>
      <c r="C45" s="67" t="s">
        <v>153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  <c r="T45" s="52">
        <v>0</v>
      </c>
      <c r="U45" s="52">
        <v>0</v>
      </c>
      <c r="V45" s="52">
        <v>0</v>
      </c>
      <c r="W45" s="52">
        <v>0</v>
      </c>
      <c r="X45" s="52">
        <v>0</v>
      </c>
      <c r="Y45" s="52">
        <v>0</v>
      </c>
      <c r="Z45" s="52">
        <v>0</v>
      </c>
      <c r="AA45" s="52">
        <v>0</v>
      </c>
      <c r="AB45" s="52">
        <v>0</v>
      </c>
      <c r="AC45" s="52">
        <v>0</v>
      </c>
      <c r="AD45" s="52">
        <v>0</v>
      </c>
      <c r="AE45" s="52">
        <v>0</v>
      </c>
      <c r="AF45" s="52">
        <v>0</v>
      </c>
      <c r="AG45" s="52">
        <v>0</v>
      </c>
      <c r="AH45" s="52">
        <v>0</v>
      </c>
      <c r="AI45" s="52">
        <v>0</v>
      </c>
      <c r="AJ45" s="52">
        <v>0</v>
      </c>
      <c r="AL45" s="52">
        <v>0</v>
      </c>
      <c r="AM45" s="52">
        <f t="shared" ref="AM45:AO47" si="105">E45-D45</f>
        <v>0</v>
      </c>
      <c r="AN45" s="52">
        <f t="shared" si="105"/>
        <v>0</v>
      </c>
      <c r="AO45" s="52">
        <f t="shared" si="105"/>
        <v>0</v>
      </c>
      <c r="AP45" s="52">
        <v>0</v>
      </c>
      <c r="AQ45" s="52">
        <f t="shared" ref="AQ45:AS47" si="106">I45-H45</f>
        <v>0</v>
      </c>
      <c r="AR45" s="52">
        <f t="shared" si="106"/>
        <v>0</v>
      </c>
      <c r="AS45" s="52">
        <f t="shared" si="106"/>
        <v>0</v>
      </c>
      <c r="AT45" s="52">
        <v>0</v>
      </c>
      <c r="AU45" s="52">
        <f t="shared" ref="AU45:AW47" si="107">M45-L45</f>
        <v>0</v>
      </c>
      <c r="AV45" s="52">
        <f t="shared" si="107"/>
        <v>0</v>
      </c>
      <c r="AW45" s="52">
        <f t="shared" si="107"/>
        <v>0</v>
      </c>
      <c r="AX45" s="52">
        <v>0</v>
      </c>
      <c r="AY45" s="52">
        <f t="shared" ref="AY45:BA47" si="108">Q45-P45</f>
        <v>0</v>
      </c>
      <c r="AZ45" s="52">
        <f t="shared" si="108"/>
        <v>0</v>
      </c>
      <c r="BA45" s="52">
        <f t="shared" si="108"/>
        <v>0</v>
      </c>
      <c r="BB45" s="52">
        <f>T45</f>
        <v>0</v>
      </c>
      <c r="BC45" s="52">
        <f t="shared" ref="BC45:BD47" si="109">U45-T45</f>
        <v>0</v>
      </c>
      <c r="BD45" s="52">
        <f t="shared" si="109"/>
        <v>0</v>
      </c>
      <c r="BE45" s="52">
        <f t="shared" ref="BE45:BE47" si="110">W45-V45</f>
        <v>0</v>
      </c>
      <c r="BF45" s="52">
        <f t="shared" si="70"/>
        <v>0</v>
      </c>
      <c r="BG45" s="52">
        <f t="shared" ref="BG45:BI47" si="111">Y45-X45</f>
        <v>0</v>
      </c>
      <c r="BH45" s="52">
        <f t="shared" si="111"/>
        <v>0</v>
      </c>
      <c r="BI45" s="52">
        <f t="shared" si="111"/>
        <v>0</v>
      </c>
      <c r="BJ45" s="52">
        <f t="shared" si="72"/>
        <v>0</v>
      </c>
      <c r="BK45" s="52">
        <f t="shared" ref="BK45:BM47" si="112">AC45-AB45</f>
        <v>0</v>
      </c>
      <c r="BL45" s="52">
        <f t="shared" si="112"/>
        <v>0</v>
      </c>
      <c r="BM45" s="52">
        <f t="shared" si="112"/>
        <v>0</v>
      </c>
      <c r="BN45" s="52">
        <f t="shared" si="76"/>
        <v>0</v>
      </c>
      <c r="BO45" s="52">
        <f t="shared" ref="BO45:BQ47" si="113">AG45-AF45</f>
        <v>0</v>
      </c>
      <c r="BP45" s="52">
        <f t="shared" si="113"/>
        <v>0</v>
      </c>
      <c r="BQ45" s="52">
        <f t="shared" si="113"/>
        <v>0</v>
      </c>
      <c r="BR45" s="52">
        <f t="shared" si="80"/>
        <v>0</v>
      </c>
    </row>
    <row r="46" spans="2:70" ht="12" customHeight="1" x14ac:dyDescent="0.2">
      <c r="B46" s="51"/>
      <c r="C46" s="67" t="s">
        <v>300</v>
      </c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>
        <v>58</v>
      </c>
      <c r="R46" s="52">
        <v>341</v>
      </c>
      <c r="S46" s="52"/>
      <c r="T46" s="52">
        <v>0</v>
      </c>
      <c r="U46" s="52">
        <v>538</v>
      </c>
      <c r="V46" s="52">
        <v>1432</v>
      </c>
      <c r="W46" s="52">
        <v>1427</v>
      </c>
      <c r="X46" s="52">
        <v>0</v>
      </c>
      <c r="Y46" s="52">
        <v>-242</v>
      </c>
      <c r="Z46" s="52">
        <v>7277</v>
      </c>
      <c r="AA46" s="52">
        <v>7277</v>
      </c>
      <c r="AB46" s="52">
        <v>0</v>
      </c>
      <c r="AC46" s="52">
        <v>2952</v>
      </c>
      <c r="AD46" s="52">
        <v>7070</v>
      </c>
      <c r="AE46" s="52">
        <v>7070</v>
      </c>
      <c r="AF46" s="52">
        <v>-488</v>
      </c>
      <c r="AG46" s="52">
        <v>677</v>
      </c>
      <c r="AH46" s="52">
        <v>859</v>
      </c>
      <c r="AI46" s="52">
        <v>3248</v>
      </c>
      <c r="AJ46" s="52">
        <v>224</v>
      </c>
      <c r="AL46" s="52"/>
      <c r="AM46" s="52">
        <f t="shared" si="105"/>
        <v>0</v>
      </c>
      <c r="AN46" s="52">
        <f t="shared" si="105"/>
        <v>0</v>
      </c>
      <c r="AO46" s="52">
        <f t="shared" si="105"/>
        <v>0</v>
      </c>
      <c r="AP46" s="52">
        <v>0</v>
      </c>
      <c r="AQ46" s="52">
        <f t="shared" si="106"/>
        <v>0</v>
      </c>
      <c r="AR46" s="52">
        <f t="shared" si="106"/>
        <v>0</v>
      </c>
      <c r="AS46" s="52">
        <f t="shared" si="106"/>
        <v>0</v>
      </c>
      <c r="AT46" s="52">
        <v>0</v>
      </c>
      <c r="AU46" s="52">
        <f t="shared" si="107"/>
        <v>0</v>
      </c>
      <c r="AV46" s="52">
        <f t="shared" si="107"/>
        <v>0</v>
      </c>
      <c r="AW46" s="52">
        <f t="shared" si="107"/>
        <v>0</v>
      </c>
      <c r="AX46" s="52">
        <v>0</v>
      </c>
      <c r="AY46" s="52">
        <f t="shared" si="108"/>
        <v>58</v>
      </c>
      <c r="AZ46" s="52">
        <f t="shared" si="108"/>
        <v>283</v>
      </c>
      <c r="BA46" s="52">
        <f t="shared" si="108"/>
        <v>-341</v>
      </c>
      <c r="BB46" s="52">
        <f>T46</f>
        <v>0</v>
      </c>
      <c r="BC46" s="52">
        <f t="shared" si="109"/>
        <v>538</v>
      </c>
      <c r="BD46" s="52">
        <f t="shared" si="109"/>
        <v>894</v>
      </c>
      <c r="BE46" s="52">
        <f t="shared" si="110"/>
        <v>-5</v>
      </c>
      <c r="BF46" s="52">
        <f t="shared" si="70"/>
        <v>0</v>
      </c>
      <c r="BG46" s="52">
        <f t="shared" si="111"/>
        <v>-242</v>
      </c>
      <c r="BH46" s="52">
        <f t="shared" si="111"/>
        <v>7519</v>
      </c>
      <c r="BI46" s="52">
        <f t="shared" si="111"/>
        <v>0</v>
      </c>
      <c r="BJ46" s="52">
        <f t="shared" si="72"/>
        <v>0</v>
      </c>
      <c r="BK46" s="52">
        <f t="shared" si="112"/>
        <v>2952</v>
      </c>
      <c r="BL46" s="52">
        <f t="shared" si="112"/>
        <v>4118</v>
      </c>
      <c r="BM46" s="52">
        <f t="shared" si="112"/>
        <v>0</v>
      </c>
      <c r="BN46" s="52">
        <f t="shared" si="76"/>
        <v>-488</v>
      </c>
      <c r="BO46" s="52">
        <f t="shared" si="113"/>
        <v>1165</v>
      </c>
      <c r="BP46" s="52">
        <f t="shared" si="113"/>
        <v>182</v>
      </c>
      <c r="BQ46" s="52">
        <f t="shared" si="113"/>
        <v>2389</v>
      </c>
      <c r="BR46" s="52">
        <f t="shared" si="80"/>
        <v>224</v>
      </c>
    </row>
    <row r="47" spans="2:70" ht="12" customHeight="1" x14ac:dyDescent="0.2">
      <c r="B47" s="51"/>
      <c r="C47" s="67" t="s">
        <v>154</v>
      </c>
      <c r="D47" s="52">
        <v>-7538</v>
      </c>
      <c r="E47" s="52">
        <v>-11381</v>
      </c>
      <c r="F47" s="52">
        <v>-15118</v>
      </c>
      <c r="G47" s="52">
        <v>-19224</v>
      </c>
      <c r="H47" s="52">
        <v>-5983</v>
      </c>
      <c r="I47" s="52">
        <v>-9412</v>
      </c>
      <c r="J47" s="52">
        <v>-12679</v>
      </c>
      <c r="K47" s="52">
        <v>-16617</v>
      </c>
      <c r="L47" s="52">
        <v>-6181</v>
      </c>
      <c r="M47" s="52">
        <v>-7909</v>
      </c>
      <c r="N47" s="52">
        <v>-13880</v>
      </c>
      <c r="O47" s="52">
        <v>-15574</v>
      </c>
      <c r="P47" s="52">
        <v>-8432</v>
      </c>
      <c r="Q47" s="52">
        <v>-12185</v>
      </c>
      <c r="R47" s="52">
        <v>-16128</v>
      </c>
      <c r="S47" s="52">
        <v>-19210</v>
      </c>
      <c r="T47" s="52">
        <v>-4096</v>
      </c>
      <c r="U47" s="52">
        <v>-17836</v>
      </c>
      <c r="V47" s="52">
        <v>-21798</v>
      </c>
      <c r="W47" s="52">
        <v>-25272</v>
      </c>
      <c r="X47" s="52">
        <v>-4487</v>
      </c>
      <c r="Y47" s="52">
        <v>-8613</v>
      </c>
      <c r="Z47" s="52">
        <v>-12145</v>
      </c>
      <c r="AA47" s="52">
        <v>-15423</v>
      </c>
      <c r="AB47" s="52">
        <v>-5130</v>
      </c>
      <c r="AC47" s="52">
        <v>-7543</v>
      </c>
      <c r="AD47" s="52">
        <v>-9861</v>
      </c>
      <c r="AE47" s="52">
        <v>-12623</v>
      </c>
      <c r="AF47" s="52">
        <v>-6200</v>
      </c>
      <c r="AG47" s="52">
        <v>-9819</v>
      </c>
      <c r="AH47" s="52">
        <v>-11929</v>
      </c>
      <c r="AI47" s="52">
        <v>-13839</v>
      </c>
      <c r="AJ47" s="52">
        <v>-9384</v>
      </c>
      <c r="AL47" s="52">
        <v>-7538</v>
      </c>
      <c r="AM47" s="52">
        <f t="shared" si="105"/>
        <v>-3843</v>
      </c>
      <c r="AN47" s="52">
        <f t="shared" si="105"/>
        <v>-3737</v>
      </c>
      <c r="AO47" s="52">
        <f t="shared" si="105"/>
        <v>-4106</v>
      </c>
      <c r="AP47" s="52">
        <v>-5983</v>
      </c>
      <c r="AQ47" s="52">
        <f t="shared" si="106"/>
        <v>-3429</v>
      </c>
      <c r="AR47" s="52">
        <f t="shared" si="106"/>
        <v>-3267</v>
      </c>
      <c r="AS47" s="52">
        <f t="shared" si="106"/>
        <v>-3938</v>
      </c>
      <c r="AT47" s="52">
        <v>-6181</v>
      </c>
      <c r="AU47" s="52">
        <f t="shared" si="107"/>
        <v>-1728</v>
      </c>
      <c r="AV47" s="52">
        <f t="shared" si="107"/>
        <v>-5971</v>
      </c>
      <c r="AW47" s="52">
        <f t="shared" si="107"/>
        <v>-1694</v>
      </c>
      <c r="AX47" s="52">
        <v>-8432</v>
      </c>
      <c r="AY47" s="52">
        <f t="shared" si="108"/>
        <v>-3753</v>
      </c>
      <c r="AZ47" s="52">
        <f t="shared" si="108"/>
        <v>-3943</v>
      </c>
      <c r="BA47" s="52">
        <f t="shared" si="108"/>
        <v>-3082</v>
      </c>
      <c r="BB47" s="52">
        <f>T47</f>
        <v>-4096</v>
      </c>
      <c r="BC47" s="52">
        <f t="shared" si="109"/>
        <v>-13740</v>
      </c>
      <c r="BD47" s="52">
        <f t="shared" si="109"/>
        <v>-3962</v>
      </c>
      <c r="BE47" s="52">
        <f t="shared" si="110"/>
        <v>-3474</v>
      </c>
      <c r="BF47" s="52">
        <f t="shared" si="70"/>
        <v>-4487</v>
      </c>
      <c r="BG47" s="52">
        <f t="shared" si="111"/>
        <v>-4126</v>
      </c>
      <c r="BH47" s="52">
        <f t="shared" si="111"/>
        <v>-3532</v>
      </c>
      <c r="BI47" s="52">
        <f t="shared" si="111"/>
        <v>-3278</v>
      </c>
      <c r="BJ47" s="52">
        <f t="shared" si="72"/>
        <v>-5130</v>
      </c>
      <c r="BK47" s="52">
        <f t="shared" si="112"/>
        <v>-2413</v>
      </c>
      <c r="BL47" s="52">
        <f t="shared" si="112"/>
        <v>-2318</v>
      </c>
      <c r="BM47" s="52">
        <f t="shared" si="112"/>
        <v>-2762</v>
      </c>
      <c r="BN47" s="52">
        <f t="shared" si="76"/>
        <v>-6200</v>
      </c>
      <c r="BO47" s="52">
        <f t="shared" si="113"/>
        <v>-3619</v>
      </c>
      <c r="BP47" s="52">
        <f t="shared" si="113"/>
        <v>-2110</v>
      </c>
      <c r="BQ47" s="52">
        <f t="shared" si="113"/>
        <v>-1910</v>
      </c>
      <c r="BR47" s="52">
        <f t="shared" si="80"/>
        <v>-9384</v>
      </c>
    </row>
    <row r="48" spans="2:70" ht="12" customHeight="1" x14ac:dyDescent="0.2">
      <c r="B48" s="230" t="s">
        <v>155</v>
      </c>
      <c r="C48" s="231"/>
      <c r="D48" s="68">
        <f t="shared" ref="D48:I48" si="114">SUM(D44:D47)</f>
        <v>31479</v>
      </c>
      <c r="E48" s="68">
        <f t="shared" si="114"/>
        <v>40239</v>
      </c>
      <c r="F48" s="68">
        <f t="shared" si="114"/>
        <v>60089</v>
      </c>
      <c r="G48" s="68">
        <f t="shared" si="114"/>
        <v>89783</v>
      </c>
      <c r="H48" s="68">
        <f t="shared" si="114"/>
        <v>17716</v>
      </c>
      <c r="I48" s="68">
        <f t="shared" si="114"/>
        <v>47615</v>
      </c>
      <c r="J48" s="68">
        <f>SUM(J44:J47)</f>
        <v>71590</v>
      </c>
      <c r="K48" s="68">
        <f t="shared" ref="K48:R48" si="115">SUM(K44:K47)</f>
        <v>121303</v>
      </c>
      <c r="L48" s="68">
        <f t="shared" si="115"/>
        <v>36353</v>
      </c>
      <c r="M48" s="68">
        <f t="shared" si="115"/>
        <v>43787</v>
      </c>
      <c r="N48" s="68">
        <f t="shared" si="115"/>
        <v>70949</v>
      </c>
      <c r="O48" s="68">
        <f t="shared" si="115"/>
        <v>125021</v>
      </c>
      <c r="P48" s="68">
        <f t="shared" si="115"/>
        <v>4945</v>
      </c>
      <c r="Q48" s="68">
        <f t="shared" si="115"/>
        <v>5032</v>
      </c>
      <c r="R48" s="68">
        <f t="shared" si="115"/>
        <v>5080</v>
      </c>
      <c r="S48" s="68">
        <f t="shared" ref="S48:AD48" si="116">SUM(S44:S47)</f>
        <v>31564</v>
      </c>
      <c r="T48" s="68">
        <f t="shared" si="116"/>
        <v>5018</v>
      </c>
      <c r="U48" s="68">
        <f t="shared" si="116"/>
        <v>-26312</v>
      </c>
      <c r="V48" s="68">
        <f t="shared" si="116"/>
        <v>-4388</v>
      </c>
      <c r="W48" s="68">
        <f t="shared" si="116"/>
        <v>52153</v>
      </c>
      <c r="X48" s="68">
        <f t="shared" si="116"/>
        <v>21801</v>
      </c>
      <c r="Y48" s="68">
        <f t="shared" si="116"/>
        <v>18811</v>
      </c>
      <c r="Z48" s="68">
        <f t="shared" si="116"/>
        <v>23618</v>
      </c>
      <c r="AA48" s="68">
        <f t="shared" si="116"/>
        <v>107935</v>
      </c>
      <c r="AB48" s="68">
        <f t="shared" si="116"/>
        <v>27435</v>
      </c>
      <c r="AC48" s="68">
        <f t="shared" si="116"/>
        <v>87315</v>
      </c>
      <c r="AD48" s="68">
        <f t="shared" si="116"/>
        <v>105510</v>
      </c>
      <c r="AE48" s="68">
        <f t="shared" ref="AE48:AI48" si="117">SUM(AE44:AE47)</f>
        <v>151193</v>
      </c>
      <c r="AF48" s="68">
        <f t="shared" si="117"/>
        <v>42049</v>
      </c>
      <c r="AG48" s="68">
        <f t="shared" si="117"/>
        <v>63918</v>
      </c>
      <c r="AH48" s="68">
        <f t="shared" si="117"/>
        <v>88774</v>
      </c>
      <c r="AI48" s="68">
        <f t="shared" si="117"/>
        <v>128962</v>
      </c>
      <c r="AJ48" s="68">
        <f t="shared" ref="AJ48" si="118">SUM(AJ44:AJ47)</f>
        <v>35695</v>
      </c>
      <c r="AL48" s="68">
        <f t="shared" ref="AL48:AQ48" si="119">SUM(AL44:AL47)</f>
        <v>31479</v>
      </c>
      <c r="AM48" s="68">
        <f t="shared" si="119"/>
        <v>8760</v>
      </c>
      <c r="AN48" s="68">
        <f t="shared" si="119"/>
        <v>19850</v>
      </c>
      <c r="AO48" s="68">
        <f t="shared" si="119"/>
        <v>29694</v>
      </c>
      <c r="AP48" s="68">
        <f t="shared" si="119"/>
        <v>17716</v>
      </c>
      <c r="AQ48" s="68">
        <f t="shared" si="119"/>
        <v>29899</v>
      </c>
      <c r="AR48" s="68">
        <f>SUM(AR44:AR47)</f>
        <v>23975</v>
      </c>
      <c r="AS48" s="68">
        <f t="shared" ref="AS48:AX48" si="120">SUM(AS44:AS47)</f>
        <v>49713</v>
      </c>
      <c r="AT48" s="68">
        <f t="shared" si="120"/>
        <v>36353</v>
      </c>
      <c r="AU48" s="68">
        <f t="shared" si="120"/>
        <v>7434</v>
      </c>
      <c r="AV48" s="68">
        <f t="shared" si="120"/>
        <v>27162</v>
      </c>
      <c r="AW48" s="68">
        <f t="shared" si="120"/>
        <v>54072</v>
      </c>
      <c r="AX48" s="68">
        <f t="shared" si="120"/>
        <v>4945</v>
      </c>
      <c r="AY48" s="68">
        <f t="shared" ref="AY48:AZ48" si="121">SUM(AY44:AY47)</f>
        <v>87</v>
      </c>
      <c r="AZ48" s="68">
        <f t="shared" si="121"/>
        <v>48</v>
      </c>
      <c r="BA48" s="68">
        <f t="shared" ref="BA48:BB48" si="122">SUM(BA44:BA47)</f>
        <v>26484</v>
      </c>
      <c r="BB48" s="68">
        <f t="shared" si="122"/>
        <v>5018</v>
      </c>
      <c r="BC48" s="68">
        <f t="shared" ref="BC48:BD48" si="123">SUM(BC44:BC47)</f>
        <v>-31330</v>
      </c>
      <c r="BD48" s="68">
        <f t="shared" si="123"/>
        <v>21924</v>
      </c>
      <c r="BE48" s="68">
        <f t="shared" ref="BE48:BG48" si="124">SUM(BE44:BE47)</f>
        <v>56541</v>
      </c>
      <c r="BF48" s="68">
        <f t="shared" si="124"/>
        <v>21801</v>
      </c>
      <c r="BG48" s="68">
        <f t="shared" si="124"/>
        <v>-2990</v>
      </c>
      <c r="BH48" s="68">
        <f t="shared" ref="BH48:BK48" si="125">SUM(BH44:BH47)</f>
        <v>4807</v>
      </c>
      <c r="BI48" s="68">
        <f t="shared" si="125"/>
        <v>84317</v>
      </c>
      <c r="BJ48" s="68">
        <f t="shared" si="125"/>
        <v>27435</v>
      </c>
      <c r="BK48" s="68">
        <f t="shared" si="125"/>
        <v>59880</v>
      </c>
      <c r="BL48" s="68">
        <f t="shared" ref="BL48:BO48" si="126">SUM(BL44:BL47)</f>
        <v>18195</v>
      </c>
      <c r="BM48" s="68">
        <f t="shared" si="126"/>
        <v>44637</v>
      </c>
      <c r="BN48" s="68">
        <f t="shared" si="126"/>
        <v>42049</v>
      </c>
      <c r="BO48" s="68">
        <f t="shared" si="126"/>
        <v>21869</v>
      </c>
      <c r="BP48" s="68">
        <f t="shared" ref="BP48:BR48" si="127">SUM(BP44:BP47)</f>
        <v>24856</v>
      </c>
      <c r="BQ48" s="68">
        <f t="shared" si="127"/>
        <v>40188</v>
      </c>
      <c r="BR48" s="68">
        <f t="shared" si="127"/>
        <v>35695</v>
      </c>
    </row>
    <row r="49" spans="2:78" ht="12" customHeight="1" x14ac:dyDescent="0.2">
      <c r="B49" s="64" t="s">
        <v>156</v>
      </c>
      <c r="C49" s="65"/>
      <c r="D49" s="65"/>
      <c r="E49" s="65"/>
      <c r="F49" s="65"/>
      <c r="G49" s="65"/>
      <c r="H49" s="65"/>
      <c r="I49" s="66"/>
      <c r="J49" s="66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L49" s="65"/>
      <c r="AM49" s="65"/>
      <c r="AN49" s="65"/>
      <c r="AO49" s="65"/>
      <c r="AP49" s="65"/>
      <c r="AQ49" s="66"/>
      <c r="AR49" s="66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</row>
    <row r="50" spans="2:78" ht="12" customHeight="1" x14ac:dyDescent="0.2">
      <c r="B50" s="51"/>
      <c r="C50" s="67" t="s">
        <v>157</v>
      </c>
      <c r="D50" s="52">
        <v>-4722</v>
      </c>
      <c r="E50" s="52">
        <v>-8966</v>
      </c>
      <c r="F50" s="52">
        <v>-11931</v>
      </c>
      <c r="G50" s="52">
        <v>-14205</v>
      </c>
      <c r="H50" s="52">
        <v>-3707</v>
      </c>
      <c r="I50" s="52">
        <v>-7782</v>
      </c>
      <c r="J50" s="52">
        <v>-10752</v>
      </c>
      <c r="K50" s="52">
        <v>-18665</v>
      </c>
      <c r="L50" s="52">
        <v>-3233</v>
      </c>
      <c r="M50" s="52">
        <v>-7971</v>
      </c>
      <c r="N50" s="52">
        <v>-12233</v>
      </c>
      <c r="O50" s="52">
        <v>-22147</v>
      </c>
      <c r="P50" s="52">
        <v>-6478</v>
      </c>
      <c r="Q50" s="52">
        <v>-12470</v>
      </c>
      <c r="R50" s="52">
        <v>-19247</v>
      </c>
      <c r="S50" s="52">
        <v>-22931</v>
      </c>
      <c r="T50" s="52">
        <v>-5992</v>
      </c>
      <c r="U50" s="52">
        <v>-12438</v>
      </c>
      <c r="V50" s="52">
        <v>-18415</v>
      </c>
      <c r="W50" s="52">
        <v>-24101</v>
      </c>
      <c r="X50" s="52">
        <v>-5594</v>
      </c>
      <c r="Y50" s="52">
        <v>-9334</v>
      </c>
      <c r="Z50" s="52">
        <v>-13256</v>
      </c>
      <c r="AA50" s="52">
        <v>-17803</v>
      </c>
      <c r="AB50" s="52">
        <v>-4062</v>
      </c>
      <c r="AC50" s="52">
        <v>-8501</v>
      </c>
      <c r="AD50" s="52">
        <v>-11043</v>
      </c>
      <c r="AE50" s="52">
        <v>-13631</v>
      </c>
      <c r="AF50" s="52">
        <v>-7382</v>
      </c>
      <c r="AG50" s="52">
        <v>-12340</v>
      </c>
      <c r="AH50" s="52">
        <v>-18124</v>
      </c>
      <c r="AI50" s="52">
        <v>-28277</v>
      </c>
      <c r="AJ50" s="52">
        <v>-7933</v>
      </c>
      <c r="AL50" s="52">
        <v>-4722</v>
      </c>
      <c r="AM50" s="52">
        <f t="shared" ref="AM50:AM68" si="128">E50-D50</f>
        <v>-4244</v>
      </c>
      <c r="AN50" s="52">
        <f t="shared" ref="AN50:AN68" si="129">F50-E50</f>
        <v>-2965</v>
      </c>
      <c r="AO50" s="52">
        <f t="shared" ref="AO50:AO68" si="130">G50-F50</f>
        <v>-2274</v>
      </c>
      <c r="AP50" s="52">
        <v>-3707</v>
      </c>
      <c r="AQ50" s="52">
        <f t="shared" ref="AQ50:AQ68" si="131">I50-H50</f>
        <v>-4075</v>
      </c>
      <c r="AR50" s="52">
        <f t="shared" ref="AR50:AR68" si="132">J50-I50</f>
        <v>-2970</v>
      </c>
      <c r="AS50" s="52">
        <f t="shared" ref="AS50:AS68" si="133">K50-J50</f>
        <v>-7913</v>
      </c>
      <c r="AT50" s="52">
        <v>-3233</v>
      </c>
      <c r="AU50" s="52">
        <f t="shared" ref="AU50:AU68" si="134">M50-L50</f>
        <v>-4738</v>
      </c>
      <c r="AV50" s="52">
        <f t="shared" ref="AV50:AV68" si="135">N50-M50</f>
        <v>-4262</v>
      </c>
      <c r="AW50" s="52">
        <f t="shared" ref="AW50:AW68" si="136">O50-N50</f>
        <v>-9914</v>
      </c>
      <c r="AX50" s="52">
        <v>-6478</v>
      </c>
      <c r="AY50" s="52">
        <f t="shared" ref="AY50:AY68" si="137">Q50-P50</f>
        <v>-5992</v>
      </c>
      <c r="AZ50" s="52">
        <f t="shared" ref="AZ50:AZ68" si="138">R50-Q50</f>
        <v>-6777</v>
      </c>
      <c r="BA50" s="52">
        <f t="shared" ref="BA50:BA68" si="139">S50-R50</f>
        <v>-3684</v>
      </c>
      <c r="BB50" s="52">
        <f t="shared" ref="BB50:BB68" si="140">T50</f>
        <v>-5992</v>
      </c>
      <c r="BC50" s="52">
        <f t="shared" ref="BC50:BC68" si="141">U50-T50</f>
        <v>-6446</v>
      </c>
      <c r="BD50" s="52">
        <f t="shared" ref="BD50:BD68" si="142">V50-U50</f>
        <v>-5977</v>
      </c>
      <c r="BE50" s="52">
        <f t="shared" ref="BE50:BE68" si="143">W50-V50</f>
        <v>-5686</v>
      </c>
      <c r="BF50" s="52">
        <f t="shared" ref="BF50:BF68" si="144">X50</f>
        <v>-5594</v>
      </c>
      <c r="BG50" s="52">
        <f t="shared" ref="BG50:BG68" si="145">Y50-X50</f>
        <v>-3740</v>
      </c>
      <c r="BH50" s="52">
        <f t="shared" ref="BH50:BH68" si="146">Z50-Y50</f>
        <v>-3922</v>
      </c>
      <c r="BI50" s="52">
        <f t="shared" ref="BI50:BI68" si="147">AA50-Z50</f>
        <v>-4547</v>
      </c>
      <c r="BJ50" s="52">
        <f t="shared" ref="BJ50:BJ68" si="148">AB50</f>
        <v>-4062</v>
      </c>
      <c r="BK50" s="52">
        <f t="shared" ref="BK50:BK68" si="149">AC50-AB50</f>
        <v>-4439</v>
      </c>
      <c r="BL50" s="52">
        <f t="shared" ref="BL50:BL68" si="150">AD50-AC50</f>
        <v>-2542</v>
      </c>
      <c r="BM50" s="52">
        <f t="shared" ref="BM50:BM68" si="151">AE50-AD50</f>
        <v>-2588</v>
      </c>
      <c r="BN50" s="52">
        <f t="shared" ref="BN50:BN68" si="152">AF50</f>
        <v>-7382</v>
      </c>
      <c r="BO50" s="52">
        <f t="shared" ref="BO50:BO68" si="153">AG50-AF50</f>
        <v>-4958</v>
      </c>
      <c r="BP50" s="52">
        <f t="shared" ref="BP50:BP68" si="154">AH50-AG50</f>
        <v>-5784</v>
      </c>
      <c r="BQ50" s="52">
        <f t="shared" ref="BQ50:BQ68" si="155">AI50-AH50</f>
        <v>-10153</v>
      </c>
      <c r="BR50" s="52">
        <f t="shared" ref="BR50:BR68" si="156">AJ50</f>
        <v>-7933</v>
      </c>
    </row>
    <row r="51" spans="2:78" ht="12" customHeight="1" x14ac:dyDescent="0.2">
      <c r="B51" s="51"/>
      <c r="C51" s="67" t="s">
        <v>158</v>
      </c>
      <c r="D51" s="52">
        <v>0</v>
      </c>
      <c r="E51" s="52">
        <v>0</v>
      </c>
      <c r="F51" s="52">
        <v>0</v>
      </c>
      <c r="G51" s="52">
        <v>0</v>
      </c>
      <c r="H51" s="52"/>
      <c r="I51" s="52">
        <v>640</v>
      </c>
      <c r="J51" s="52">
        <v>640</v>
      </c>
      <c r="K51" s="52">
        <v>640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  <c r="Q51" s="52">
        <v>0</v>
      </c>
      <c r="R51" s="52">
        <v>0</v>
      </c>
      <c r="S51" s="52">
        <v>0</v>
      </c>
      <c r="T51" s="52">
        <v>0</v>
      </c>
      <c r="U51" s="52">
        <v>0</v>
      </c>
      <c r="V51" s="52">
        <v>0</v>
      </c>
      <c r="W51" s="52">
        <v>0</v>
      </c>
      <c r="X51" s="52">
        <v>0</v>
      </c>
      <c r="Y51" s="52">
        <v>0</v>
      </c>
      <c r="Z51" s="52">
        <v>0</v>
      </c>
      <c r="AA51" s="52">
        <v>0</v>
      </c>
      <c r="AB51" s="52">
        <v>0</v>
      </c>
      <c r="AC51" s="52">
        <v>0</v>
      </c>
      <c r="AD51" s="52"/>
      <c r="AE51" s="52"/>
      <c r="AF51" s="52"/>
      <c r="AG51" s="52"/>
      <c r="AH51" s="52"/>
      <c r="AI51" s="52"/>
      <c r="AJ51" s="52">
        <v>0</v>
      </c>
      <c r="AL51" s="52">
        <v>0</v>
      </c>
      <c r="AM51" s="52">
        <f t="shared" si="128"/>
        <v>0</v>
      </c>
      <c r="AN51" s="52">
        <f t="shared" si="129"/>
        <v>0</v>
      </c>
      <c r="AO51" s="52">
        <f t="shared" si="130"/>
        <v>0</v>
      </c>
      <c r="AP51" s="52"/>
      <c r="AQ51" s="52">
        <f t="shared" si="131"/>
        <v>640</v>
      </c>
      <c r="AR51" s="52">
        <f t="shared" si="132"/>
        <v>0</v>
      </c>
      <c r="AS51" s="52">
        <f t="shared" si="133"/>
        <v>0</v>
      </c>
      <c r="AT51" s="52">
        <v>0</v>
      </c>
      <c r="AU51" s="52">
        <f t="shared" si="134"/>
        <v>0</v>
      </c>
      <c r="AV51" s="52">
        <f t="shared" si="135"/>
        <v>0</v>
      </c>
      <c r="AW51" s="52">
        <f t="shared" si="136"/>
        <v>0</v>
      </c>
      <c r="AX51" s="52">
        <v>0</v>
      </c>
      <c r="AY51" s="52">
        <f t="shared" si="137"/>
        <v>0</v>
      </c>
      <c r="AZ51" s="52">
        <f t="shared" si="138"/>
        <v>0</v>
      </c>
      <c r="BA51" s="52">
        <f t="shared" si="139"/>
        <v>0</v>
      </c>
      <c r="BB51" s="52">
        <f t="shared" si="140"/>
        <v>0</v>
      </c>
      <c r="BC51" s="52">
        <f t="shared" si="141"/>
        <v>0</v>
      </c>
      <c r="BD51" s="52">
        <f t="shared" si="142"/>
        <v>0</v>
      </c>
      <c r="BE51" s="52">
        <f t="shared" si="143"/>
        <v>0</v>
      </c>
      <c r="BF51" s="52">
        <f t="shared" si="144"/>
        <v>0</v>
      </c>
      <c r="BG51" s="52">
        <f t="shared" si="145"/>
        <v>0</v>
      </c>
      <c r="BH51" s="52">
        <f t="shared" si="146"/>
        <v>0</v>
      </c>
      <c r="BI51" s="52">
        <f t="shared" si="147"/>
        <v>0</v>
      </c>
      <c r="BJ51" s="52">
        <f t="shared" si="148"/>
        <v>0</v>
      </c>
      <c r="BK51" s="52">
        <f t="shared" si="149"/>
        <v>0</v>
      </c>
      <c r="BL51" s="52">
        <f t="shared" si="150"/>
        <v>0</v>
      </c>
      <c r="BM51" s="52">
        <f t="shared" si="151"/>
        <v>0</v>
      </c>
      <c r="BN51" s="52">
        <f t="shared" si="152"/>
        <v>0</v>
      </c>
      <c r="BO51" s="52">
        <f t="shared" si="153"/>
        <v>0</v>
      </c>
      <c r="BP51" s="52">
        <f t="shared" si="154"/>
        <v>0</v>
      </c>
      <c r="BQ51" s="52">
        <f t="shared" si="155"/>
        <v>0</v>
      </c>
      <c r="BR51" s="52">
        <f t="shared" si="156"/>
        <v>0</v>
      </c>
    </row>
    <row r="52" spans="2:78" ht="12" customHeight="1" x14ac:dyDescent="0.2">
      <c r="B52" s="51"/>
      <c r="C52" s="46" t="s">
        <v>322</v>
      </c>
      <c r="D52" s="52">
        <v>-6517</v>
      </c>
      <c r="E52" s="52">
        <v>-11609</v>
      </c>
      <c r="F52" s="52">
        <v>-18357</v>
      </c>
      <c r="G52" s="52">
        <v>-28887</v>
      </c>
      <c r="H52" s="52">
        <v>-9744</v>
      </c>
      <c r="I52" s="52">
        <v>-15823</v>
      </c>
      <c r="J52" s="52">
        <v>-25113</v>
      </c>
      <c r="K52" s="52">
        <v>-40714</v>
      </c>
      <c r="L52" s="52">
        <v>-8405</v>
      </c>
      <c r="M52" s="52">
        <v>-17340</v>
      </c>
      <c r="N52" s="52">
        <v>-32025</v>
      </c>
      <c r="O52" s="52">
        <v>-51029</v>
      </c>
      <c r="P52" s="52">
        <v>-13516</v>
      </c>
      <c r="Q52" s="52">
        <v>-29212</v>
      </c>
      <c r="R52" s="52">
        <v>-42374</v>
      </c>
      <c r="S52" s="52">
        <v>-68986</v>
      </c>
      <c r="T52" s="52">
        <v>-19036</v>
      </c>
      <c r="U52" s="52">
        <v>-27571</v>
      </c>
      <c r="V52" s="52">
        <v>-34548</v>
      </c>
      <c r="W52" s="52">
        <v>-38911</v>
      </c>
      <c r="X52" s="52">
        <v>-4202</v>
      </c>
      <c r="Y52" s="52">
        <v>-9527</v>
      </c>
      <c r="Z52" s="52">
        <v>-13605</v>
      </c>
      <c r="AA52" s="52">
        <v>-18499</v>
      </c>
      <c r="AB52" s="52">
        <v>-6849</v>
      </c>
      <c r="AC52" s="52">
        <v>-11446</v>
      </c>
      <c r="AD52" s="52">
        <v>-22974</v>
      </c>
      <c r="AE52" s="52">
        <v>-43691</v>
      </c>
      <c r="AF52" s="52">
        <v>-9644</v>
      </c>
      <c r="AG52" s="52">
        <v>-21692</v>
      </c>
      <c r="AH52" s="52">
        <v>-45114</v>
      </c>
      <c r="AI52" s="52">
        <v>-57959</v>
      </c>
      <c r="AJ52" s="52">
        <v>-12125</v>
      </c>
      <c r="AL52" s="52">
        <v>-6517</v>
      </c>
      <c r="AM52" s="52">
        <f t="shared" si="128"/>
        <v>-5092</v>
      </c>
      <c r="AN52" s="52">
        <f t="shared" si="129"/>
        <v>-6748</v>
      </c>
      <c r="AO52" s="52">
        <f t="shared" si="130"/>
        <v>-10530</v>
      </c>
      <c r="AP52" s="52">
        <v>-9744</v>
      </c>
      <c r="AQ52" s="52">
        <f t="shared" si="131"/>
        <v>-6079</v>
      </c>
      <c r="AR52" s="52">
        <f t="shared" si="132"/>
        <v>-9290</v>
      </c>
      <c r="AS52" s="52">
        <f t="shared" si="133"/>
        <v>-15601</v>
      </c>
      <c r="AT52" s="52">
        <v>-8405</v>
      </c>
      <c r="AU52" s="52">
        <f t="shared" si="134"/>
        <v>-8935</v>
      </c>
      <c r="AV52" s="52">
        <f t="shared" si="135"/>
        <v>-14685</v>
      </c>
      <c r="AW52" s="52">
        <f t="shared" si="136"/>
        <v>-19004</v>
      </c>
      <c r="AX52" s="52">
        <v>-13516</v>
      </c>
      <c r="AY52" s="52">
        <f t="shared" si="137"/>
        <v>-15696</v>
      </c>
      <c r="AZ52" s="52">
        <f t="shared" si="138"/>
        <v>-13162</v>
      </c>
      <c r="BA52" s="52">
        <f t="shared" si="139"/>
        <v>-26612</v>
      </c>
      <c r="BB52" s="52">
        <f t="shared" si="140"/>
        <v>-19036</v>
      </c>
      <c r="BC52" s="52">
        <f t="shared" si="141"/>
        <v>-8535</v>
      </c>
      <c r="BD52" s="52">
        <f t="shared" si="142"/>
        <v>-6977</v>
      </c>
      <c r="BE52" s="52">
        <f t="shared" si="143"/>
        <v>-4363</v>
      </c>
      <c r="BF52" s="52">
        <f t="shared" si="144"/>
        <v>-4202</v>
      </c>
      <c r="BG52" s="52">
        <f t="shared" si="145"/>
        <v>-5325</v>
      </c>
      <c r="BH52" s="52">
        <f t="shared" si="146"/>
        <v>-4078</v>
      </c>
      <c r="BI52" s="52">
        <f t="shared" si="147"/>
        <v>-4894</v>
      </c>
      <c r="BJ52" s="52">
        <f t="shared" si="148"/>
        <v>-6849</v>
      </c>
      <c r="BK52" s="52">
        <f t="shared" si="149"/>
        <v>-4597</v>
      </c>
      <c r="BL52" s="52">
        <f t="shared" si="150"/>
        <v>-11528</v>
      </c>
      <c r="BM52" s="52">
        <f t="shared" si="151"/>
        <v>-20717</v>
      </c>
      <c r="BN52" s="52">
        <f t="shared" si="152"/>
        <v>-9644</v>
      </c>
      <c r="BO52" s="52">
        <f t="shared" si="153"/>
        <v>-12048</v>
      </c>
      <c r="BP52" s="52">
        <f t="shared" si="154"/>
        <v>-23422</v>
      </c>
      <c r="BQ52" s="52">
        <f t="shared" si="155"/>
        <v>-12845</v>
      </c>
      <c r="BR52" s="52">
        <f t="shared" si="156"/>
        <v>-12125</v>
      </c>
    </row>
    <row r="53" spans="2:78" ht="12" customHeight="1" x14ac:dyDescent="0.2">
      <c r="B53" s="51"/>
      <c r="C53" s="67" t="s">
        <v>159</v>
      </c>
      <c r="D53" s="52">
        <v>1794</v>
      </c>
      <c r="E53" s="52">
        <v>3559</v>
      </c>
      <c r="F53" s="52">
        <v>4160</v>
      </c>
      <c r="G53" s="52">
        <v>6011</v>
      </c>
      <c r="H53" s="52">
        <v>177</v>
      </c>
      <c r="I53" s="52">
        <v>1242</v>
      </c>
      <c r="J53" s="52">
        <v>3313</v>
      </c>
      <c r="K53" s="52">
        <v>6054</v>
      </c>
      <c r="L53" s="52">
        <v>5191</v>
      </c>
      <c r="M53" s="52">
        <v>6576</v>
      </c>
      <c r="N53" s="52">
        <v>10646</v>
      </c>
      <c r="O53" s="52">
        <v>14444</v>
      </c>
      <c r="P53" s="52">
        <v>21036</v>
      </c>
      <c r="Q53" s="52">
        <v>33857</v>
      </c>
      <c r="R53" s="52">
        <v>34433</v>
      </c>
      <c r="S53" s="52">
        <v>35192</v>
      </c>
      <c r="T53" s="52">
        <v>1379</v>
      </c>
      <c r="U53" s="52">
        <v>22434</v>
      </c>
      <c r="V53" s="52">
        <v>23668</v>
      </c>
      <c r="W53" s="52">
        <v>25806</v>
      </c>
      <c r="X53" s="52">
        <v>45</v>
      </c>
      <c r="Y53" s="52">
        <v>1745</v>
      </c>
      <c r="Z53" s="52">
        <v>11686</v>
      </c>
      <c r="AA53" s="52">
        <v>12196</v>
      </c>
      <c r="AB53" s="52">
        <v>1487</v>
      </c>
      <c r="AC53" s="52">
        <v>718</v>
      </c>
      <c r="AD53" s="52">
        <v>2128</v>
      </c>
      <c r="AE53" s="52">
        <v>1758</v>
      </c>
      <c r="AF53" s="52">
        <v>4384</v>
      </c>
      <c r="AG53" s="52">
        <v>810</v>
      </c>
      <c r="AH53" s="52">
        <v>777</v>
      </c>
      <c r="AI53" s="52">
        <v>18805</v>
      </c>
      <c r="AJ53" s="52">
        <v>223</v>
      </c>
      <c r="AL53" s="52">
        <v>1794</v>
      </c>
      <c r="AM53" s="52">
        <f t="shared" si="128"/>
        <v>1765</v>
      </c>
      <c r="AN53" s="52">
        <f t="shared" si="129"/>
        <v>601</v>
      </c>
      <c r="AO53" s="52">
        <f t="shared" si="130"/>
        <v>1851</v>
      </c>
      <c r="AP53" s="52">
        <v>177</v>
      </c>
      <c r="AQ53" s="52">
        <f t="shared" si="131"/>
        <v>1065</v>
      </c>
      <c r="AR53" s="52">
        <f t="shared" si="132"/>
        <v>2071</v>
      </c>
      <c r="AS53" s="52">
        <f t="shared" si="133"/>
        <v>2741</v>
      </c>
      <c r="AT53" s="52">
        <v>5191</v>
      </c>
      <c r="AU53" s="52">
        <f t="shared" si="134"/>
        <v>1385</v>
      </c>
      <c r="AV53" s="52">
        <f t="shared" si="135"/>
        <v>4070</v>
      </c>
      <c r="AW53" s="52">
        <f t="shared" si="136"/>
        <v>3798</v>
      </c>
      <c r="AX53" s="52">
        <v>21036</v>
      </c>
      <c r="AY53" s="52">
        <f t="shared" si="137"/>
        <v>12821</v>
      </c>
      <c r="AZ53" s="52">
        <f t="shared" si="138"/>
        <v>576</v>
      </c>
      <c r="BA53" s="52">
        <f t="shared" si="139"/>
        <v>759</v>
      </c>
      <c r="BB53" s="52">
        <f t="shared" si="140"/>
        <v>1379</v>
      </c>
      <c r="BC53" s="52">
        <f t="shared" si="141"/>
        <v>21055</v>
      </c>
      <c r="BD53" s="52">
        <f t="shared" si="142"/>
        <v>1234</v>
      </c>
      <c r="BE53" s="52">
        <f t="shared" si="143"/>
        <v>2138</v>
      </c>
      <c r="BF53" s="52">
        <f t="shared" si="144"/>
        <v>45</v>
      </c>
      <c r="BG53" s="52">
        <f t="shared" si="145"/>
        <v>1700</v>
      </c>
      <c r="BH53" s="52">
        <f t="shared" si="146"/>
        <v>9941</v>
      </c>
      <c r="BI53" s="52">
        <f t="shared" si="147"/>
        <v>510</v>
      </c>
      <c r="BJ53" s="52">
        <f t="shared" si="148"/>
        <v>1487</v>
      </c>
      <c r="BK53" s="52">
        <f t="shared" si="149"/>
        <v>-769</v>
      </c>
      <c r="BL53" s="52">
        <f t="shared" si="150"/>
        <v>1410</v>
      </c>
      <c r="BM53" s="52">
        <f t="shared" si="151"/>
        <v>-370</v>
      </c>
      <c r="BN53" s="52">
        <f t="shared" si="152"/>
        <v>4384</v>
      </c>
      <c r="BO53" s="52">
        <f t="shared" si="153"/>
        <v>-3574</v>
      </c>
      <c r="BP53" s="52">
        <f t="shared" si="154"/>
        <v>-33</v>
      </c>
      <c r="BQ53" s="52">
        <f t="shared" si="155"/>
        <v>18028</v>
      </c>
      <c r="BR53" s="52">
        <f t="shared" si="156"/>
        <v>223</v>
      </c>
    </row>
    <row r="54" spans="2:78" ht="12" customHeight="1" x14ac:dyDescent="0.2">
      <c r="B54" s="51"/>
      <c r="C54" s="67" t="s">
        <v>160</v>
      </c>
      <c r="D54" s="52"/>
      <c r="E54" s="52"/>
      <c r="F54" s="52">
        <v>-32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/>
      <c r="AE54" s="52"/>
      <c r="AF54" s="52"/>
      <c r="AG54" s="52"/>
      <c r="AH54" s="52"/>
      <c r="AI54" s="52"/>
      <c r="AJ54" s="52"/>
      <c r="AL54" s="52"/>
      <c r="AM54" s="52">
        <f t="shared" si="128"/>
        <v>0</v>
      </c>
      <c r="AN54" s="52">
        <f t="shared" si="129"/>
        <v>-32</v>
      </c>
      <c r="AO54" s="52">
        <f t="shared" si="130"/>
        <v>32</v>
      </c>
      <c r="AP54" s="52">
        <v>0</v>
      </c>
      <c r="AQ54" s="52">
        <f t="shared" si="131"/>
        <v>0</v>
      </c>
      <c r="AR54" s="52">
        <f t="shared" si="132"/>
        <v>0</v>
      </c>
      <c r="AS54" s="52">
        <f t="shared" si="133"/>
        <v>0</v>
      </c>
      <c r="AT54" s="52">
        <v>0</v>
      </c>
      <c r="AU54" s="52">
        <f t="shared" si="134"/>
        <v>0</v>
      </c>
      <c r="AV54" s="52">
        <f t="shared" si="135"/>
        <v>0</v>
      </c>
      <c r="AW54" s="52">
        <f t="shared" si="136"/>
        <v>0</v>
      </c>
      <c r="AX54" s="52">
        <v>0</v>
      </c>
      <c r="AY54" s="52">
        <f t="shared" si="137"/>
        <v>0</v>
      </c>
      <c r="AZ54" s="52">
        <f t="shared" si="138"/>
        <v>0</v>
      </c>
      <c r="BA54" s="52">
        <f t="shared" si="139"/>
        <v>0</v>
      </c>
      <c r="BB54" s="52">
        <f t="shared" si="140"/>
        <v>0</v>
      </c>
      <c r="BC54" s="52">
        <f t="shared" si="141"/>
        <v>0</v>
      </c>
      <c r="BD54" s="52">
        <f t="shared" si="142"/>
        <v>0</v>
      </c>
      <c r="BE54" s="52">
        <f t="shared" si="143"/>
        <v>0</v>
      </c>
      <c r="BF54" s="52">
        <f t="shared" si="144"/>
        <v>0</v>
      </c>
      <c r="BG54" s="52">
        <f t="shared" si="145"/>
        <v>0</v>
      </c>
      <c r="BH54" s="52">
        <f t="shared" si="146"/>
        <v>0</v>
      </c>
      <c r="BI54" s="52">
        <f t="shared" si="147"/>
        <v>0</v>
      </c>
      <c r="BJ54" s="52">
        <f t="shared" si="148"/>
        <v>0</v>
      </c>
      <c r="BK54" s="52">
        <f t="shared" si="149"/>
        <v>0</v>
      </c>
      <c r="BL54" s="52">
        <f t="shared" si="150"/>
        <v>0</v>
      </c>
      <c r="BM54" s="52">
        <f t="shared" si="151"/>
        <v>0</v>
      </c>
      <c r="BN54" s="52">
        <f t="shared" si="152"/>
        <v>0</v>
      </c>
      <c r="BO54" s="52">
        <f t="shared" si="153"/>
        <v>0</v>
      </c>
      <c r="BP54" s="52">
        <f t="shared" si="154"/>
        <v>0</v>
      </c>
      <c r="BQ54" s="52">
        <f t="shared" si="155"/>
        <v>0</v>
      </c>
      <c r="BR54" s="52">
        <f t="shared" si="156"/>
        <v>0</v>
      </c>
    </row>
    <row r="55" spans="2:78" ht="12" customHeight="1" x14ac:dyDescent="0.2">
      <c r="B55" s="51"/>
      <c r="C55" s="67" t="s">
        <v>161</v>
      </c>
      <c r="D55" s="52"/>
      <c r="E55" s="52">
        <v>-13</v>
      </c>
      <c r="F55" s="52"/>
      <c r="G55" s="52">
        <v>0</v>
      </c>
      <c r="H55" s="52"/>
      <c r="I55" s="52">
        <v>0</v>
      </c>
      <c r="J55" s="52"/>
      <c r="K55" s="52">
        <v>0</v>
      </c>
      <c r="L55" s="52"/>
      <c r="M55" s="52">
        <v>0</v>
      </c>
      <c r="N55" s="52"/>
      <c r="O55" s="52">
        <v>0</v>
      </c>
      <c r="P55" s="52"/>
      <c r="Q55" s="52">
        <v>0</v>
      </c>
      <c r="R55" s="52"/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/>
      <c r="AE55" s="52"/>
      <c r="AF55" s="52"/>
      <c r="AG55" s="52"/>
      <c r="AH55" s="52"/>
      <c r="AI55" s="52"/>
      <c r="AJ55" s="52"/>
      <c r="AL55" s="52"/>
      <c r="AM55" s="52">
        <f t="shared" si="128"/>
        <v>-13</v>
      </c>
      <c r="AN55" s="52">
        <f t="shared" si="129"/>
        <v>13</v>
      </c>
      <c r="AO55" s="52">
        <f t="shared" si="130"/>
        <v>0</v>
      </c>
      <c r="AP55" s="52"/>
      <c r="AQ55" s="52">
        <f t="shared" si="131"/>
        <v>0</v>
      </c>
      <c r="AR55" s="52">
        <f t="shared" si="132"/>
        <v>0</v>
      </c>
      <c r="AS55" s="52">
        <f t="shared" si="133"/>
        <v>0</v>
      </c>
      <c r="AT55" s="52"/>
      <c r="AU55" s="52">
        <f t="shared" si="134"/>
        <v>0</v>
      </c>
      <c r="AV55" s="52">
        <f t="shared" si="135"/>
        <v>0</v>
      </c>
      <c r="AW55" s="52">
        <f t="shared" si="136"/>
        <v>0</v>
      </c>
      <c r="AX55" s="52"/>
      <c r="AY55" s="52">
        <f t="shared" si="137"/>
        <v>0</v>
      </c>
      <c r="AZ55" s="52">
        <f t="shared" si="138"/>
        <v>0</v>
      </c>
      <c r="BA55" s="52">
        <f t="shared" si="139"/>
        <v>0</v>
      </c>
      <c r="BB55" s="52">
        <f t="shared" si="140"/>
        <v>0</v>
      </c>
      <c r="BC55" s="52">
        <f t="shared" si="141"/>
        <v>0</v>
      </c>
      <c r="BD55" s="52">
        <f t="shared" si="142"/>
        <v>0</v>
      </c>
      <c r="BE55" s="52">
        <f t="shared" si="143"/>
        <v>0</v>
      </c>
      <c r="BF55" s="52">
        <f t="shared" si="144"/>
        <v>0</v>
      </c>
      <c r="BG55" s="52">
        <f t="shared" si="145"/>
        <v>0</v>
      </c>
      <c r="BH55" s="52">
        <f t="shared" si="146"/>
        <v>0</v>
      </c>
      <c r="BI55" s="52">
        <f t="shared" si="147"/>
        <v>0</v>
      </c>
      <c r="BJ55" s="52">
        <f t="shared" si="148"/>
        <v>0</v>
      </c>
      <c r="BK55" s="52">
        <f t="shared" si="149"/>
        <v>0</v>
      </c>
      <c r="BL55" s="52">
        <f t="shared" si="150"/>
        <v>0</v>
      </c>
      <c r="BM55" s="52">
        <f t="shared" si="151"/>
        <v>0</v>
      </c>
      <c r="BN55" s="52">
        <f t="shared" si="152"/>
        <v>0</v>
      </c>
      <c r="BO55" s="52">
        <f t="shared" si="153"/>
        <v>0</v>
      </c>
      <c r="BP55" s="52">
        <f t="shared" si="154"/>
        <v>0</v>
      </c>
      <c r="BQ55" s="52">
        <f t="shared" si="155"/>
        <v>0</v>
      </c>
      <c r="BR55" s="52">
        <f t="shared" si="156"/>
        <v>0</v>
      </c>
    </row>
    <row r="56" spans="2:78" ht="12" customHeight="1" x14ac:dyDescent="0.2">
      <c r="B56" s="51"/>
      <c r="C56" s="67" t="s">
        <v>354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>
        <v>-1046</v>
      </c>
      <c r="AF56" s="52"/>
      <c r="AG56" s="52"/>
      <c r="AH56" s="52"/>
      <c r="AI56" s="52">
        <v>0</v>
      </c>
      <c r="AJ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>
        <f t="shared" si="152"/>
        <v>0</v>
      </c>
      <c r="BO56" s="52">
        <f t="shared" si="153"/>
        <v>0</v>
      </c>
      <c r="BP56" s="52">
        <f t="shared" si="154"/>
        <v>0</v>
      </c>
      <c r="BQ56" s="52">
        <f t="shared" si="155"/>
        <v>0</v>
      </c>
      <c r="BR56" s="52">
        <f t="shared" si="156"/>
        <v>0</v>
      </c>
    </row>
    <row r="57" spans="2:78" s="47" customFormat="1" ht="12" customHeight="1" x14ac:dyDescent="0.2">
      <c r="B57" s="51"/>
      <c r="C57" s="67" t="s">
        <v>162</v>
      </c>
      <c r="D57" s="52"/>
      <c r="E57" s="52">
        <v>0</v>
      </c>
      <c r="F57" s="52"/>
      <c r="G57" s="52">
        <v>0</v>
      </c>
      <c r="H57" s="52"/>
      <c r="I57" s="52">
        <v>0</v>
      </c>
      <c r="J57" s="52"/>
      <c r="K57" s="52">
        <v>0</v>
      </c>
      <c r="L57" s="52"/>
      <c r="M57" s="52">
        <v>0</v>
      </c>
      <c r="N57" s="52"/>
      <c r="O57" s="52">
        <v>0</v>
      </c>
      <c r="P57" s="52"/>
      <c r="Q57" s="52">
        <v>0</v>
      </c>
      <c r="R57" s="52"/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/>
      <c r="AE57" s="52"/>
      <c r="AF57" s="52"/>
      <c r="AG57" s="52"/>
      <c r="AH57" s="52"/>
      <c r="AI57" s="52">
        <v>0</v>
      </c>
      <c r="AJ57" s="52"/>
      <c r="AL57" s="52"/>
      <c r="AM57" s="52">
        <f t="shared" si="128"/>
        <v>0</v>
      </c>
      <c r="AN57" s="52">
        <f t="shared" si="129"/>
        <v>0</v>
      </c>
      <c r="AO57" s="52">
        <f t="shared" si="130"/>
        <v>0</v>
      </c>
      <c r="AP57" s="52"/>
      <c r="AQ57" s="52">
        <f t="shared" si="131"/>
        <v>0</v>
      </c>
      <c r="AR57" s="52">
        <f t="shared" si="132"/>
        <v>0</v>
      </c>
      <c r="AS57" s="52">
        <f t="shared" si="133"/>
        <v>0</v>
      </c>
      <c r="AT57" s="52"/>
      <c r="AU57" s="52">
        <f t="shared" si="134"/>
        <v>0</v>
      </c>
      <c r="AV57" s="52">
        <f t="shared" si="135"/>
        <v>0</v>
      </c>
      <c r="AW57" s="52">
        <f t="shared" si="136"/>
        <v>0</v>
      </c>
      <c r="AX57" s="52"/>
      <c r="AY57" s="52">
        <f t="shared" si="137"/>
        <v>0</v>
      </c>
      <c r="AZ57" s="52">
        <f t="shared" si="138"/>
        <v>0</v>
      </c>
      <c r="BA57" s="52">
        <f t="shared" si="139"/>
        <v>0</v>
      </c>
      <c r="BB57" s="52">
        <f t="shared" si="140"/>
        <v>0</v>
      </c>
      <c r="BC57" s="52">
        <f t="shared" si="141"/>
        <v>0</v>
      </c>
      <c r="BD57" s="52">
        <f t="shared" si="142"/>
        <v>0</v>
      </c>
      <c r="BE57" s="52">
        <f t="shared" si="143"/>
        <v>0</v>
      </c>
      <c r="BF57" s="52">
        <f t="shared" si="144"/>
        <v>0</v>
      </c>
      <c r="BG57" s="52">
        <f t="shared" si="145"/>
        <v>0</v>
      </c>
      <c r="BH57" s="52">
        <f t="shared" si="146"/>
        <v>0</v>
      </c>
      <c r="BI57" s="52">
        <f t="shared" si="147"/>
        <v>0</v>
      </c>
      <c r="BJ57" s="52">
        <f t="shared" si="148"/>
        <v>0</v>
      </c>
      <c r="BK57" s="52">
        <f t="shared" si="149"/>
        <v>0</v>
      </c>
      <c r="BL57" s="52">
        <f t="shared" si="150"/>
        <v>0</v>
      </c>
      <c r="BM57" s="52">
        <f t="shared" si="151"/>
        <v>0</v>
      </c>
      <c r="BN57" s="52">
        <f t="shared" si="152"/>
        <v>0</v>
      </c>
      <c r="BO57" s="52">
        <f t="shared" si="153"/>
        <v>0</v>
      </c>
      <c r="BP57" s="52">
        <f t="shared" si="154"/>
        <v>0</v>
      </c>
      <c r="BQ57" s="52">
        <f t="shared" si="155"/>
        <v>0</v>
      </c>
      <c r="BR57" s="52">
        <f t="shared" si="156"/>
        <v>0</v>
      </c>
      <c r="BS57" s="46"/>
      <c r="BT57" s="46"/>
      <c r="BU57" s="46"/>
      <c r="BV57" s="46"/>
      <c r="BW57" s="46"/>
      <c r="BX57" s="46"/>
      <c r="BY57" s="46"/>
      <c r="BZ57" s="46"/>
    </row>
    <row r="58" spans="2:78" s="47" customFormat="1" ht="12" customHeight="1" x14ac:dyDescent="0.2">
      <c r="B58" s="51"/>
      <c r="C58" s="67" t="s">
        <v>163</v>
      </c>
      <c r="D58" s="52"/>
      <c r="E58" s="52">
        <v>0</v>
      </c>
      <c r="F58" s="52"/>
      <c r="G58" s="52">
        <v>0</v>
      </c>
      <c r="H58" s="52"/>
      <c r="I58" s="52">
        <v>0</v>
      </c>
      <c r="J58" s="52"/>
      <c r="K58" s="52">
        <v>0</v>
      </c>
      <c r="L58" s="52"/>
      <c r="M58" s="52">
        <v>0</v>
      </c>
      <c r="N58" s="52"/>
      <c r="O58" s="52">
        <v>0</v>
      </c>
      <c r="P58" s="52"/>
      <c r="Q58" s="52">
        <v>0</v>
      </c>
      <c r="R58" s="52"/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/>
      <c r="AE58" s="52"/>
      <c r="AF58" s="52"/>
      <c r="AG58" s="52"/>
      <c r="AH58" s="52"/>
      <c r="AI58" s="52"/>
      <c r="AJ58" s="52"/>
      <c r="AL58" s="52"/>
      <c r="AM58" s="52">
        <f t="shared" si="128"/>
        <v>0</v>
      </c>
      <c r="AN58" s="52">
        <f t="shared" si="129"/>
        <v>0</v>
      </c>
      <c r="AO58" s="52">
        <f t="shared" si="130"/>
        <v>0</v>
      </c>
      <c r="AP58" s="52"/>
      <c r="AQ58" s="52">
        <f t="shared" si="131"/>
        <v>0</v>
      </c>
      <c r="AR58" s="52">
        <f t="shared" si="132"/>
        <v>0</v>
      </c>
      <c r="AS58" s="52">
        <f t="shared" si="133"/>
        <v>0</v>
      </c>
      <c r="AT58" s="52"/>
      <c r="AU58" s="52">
        <f t="shared" si="134"/>
        <v>0</v>
      </c>
      <c r="AV58" s="52">
        <f t="shared" si="135"/>
        <v>0</v>
      </c>
      <c r="AW58" s="52">
        <f t="shared" si="136"/>
        <v>0</v>
      </c>
      <c r="AX58" s="52"/>
      <c r="AY58" s="52">
        <f t="shared" si="137"/>
        <v>0</v>
      </c>
      <c r="AZ58" s="52">
        <f t="shared" si="138"/>
        <v>0</v>
      </c>
      <c r="BA58" s="52">
        <f t="shared" si="139"/>
        <v>0</v>
      </c>
      <c r="BB58" s="52">
        <f t="shared" si="140"/>
        <v>0</v>
      </c>
      <c r="BC58" s="52">
        <f t="shared" si="141"/>
        <v>0</v>
      </c>
      <c r="BD58" s="52">
        <f t="shared" si="142"/>
        <v>0</v>
      </c>
      <c r="BE58" s="52">
        <f t="shared" si="143"/>
        <v>0</v>
      </c>
      <c r="BF58" s="52">
        <f t="shared" si="144"/>
        <v>0</v>
      </c>
      <c r="BG58" s="52">
        <f t="shared" si="145"/>
        <v>0</v>
      </c>
      <c r="BH58" s="52">
        <f t="shared" si="146"/>
        <v>0</v>
      </c>
      <c r="BI58" s="52">
        <f t="shared" si="147"/>
        <v>0</v>
      </c>
      <c r="BJ58" s="52">
        <f t="shared" si="148"/>
        <v>0</v>
      </c>
      <c r="BK58" s="52">
        <f t="shared" si="149"/>
        <v>0</v>
      </c>
      <c r="BL58" s="52">
        <f t="shared" si="150"/>
        <v>0</v>
      </c>
      <c r="BM58" s="52">
        <f t="shared" si="151"/>
        <v>0</v>
      </c>
      <c r="BN58" s="52">
        <f t="shared" si="152"/>
        <v>0</v>
      </c>
      <c r="BO58" s="52">
        <f t="shared" si="153"/>
        <v>0</v>
      </c>
      <c r="BP58" s="52">
        <f t="shared" si="154"/>
        <v>0</v>
      </c>
      <c r="BQ58" s="52">
        <f t="shared" si="155"/>
        <v>0</v>
      </c>
      <c r="BR58" s="52">
        <f t="shared" si="156"/>
        <v>0</v>
      </c>
      <c r="BS58" s="46"/>
      <c r="BT58" s="46"/>
      <c r="BU58" s="46"/>
      <c r="BV58" s="46"/>
      <c r="BW58" s="46"/>
      <c r="BX58" s="46"/>
      <c r="BY58" s="46"/>
      <c r="BZ58" s="46"/>
    </row>
    <row r="59" spans="2:78" s="47" customFormat="1" ht="12" customHeight="1" x14ac:dyDescent="0.2">
      <c r="B59" s="51"/>
      <c r="C59" s="67" t="s">
        <v>164</v>
      </c>
      <c r="D59" s="52">
        <v>0</v>
      </c>
      <c r="E59" s="52">
        <v>0</v>
      </c>
      <c r="F59" s="52">
        <v>0</v>
      </c>
      <c r="G59" s="52">
        <v>0</v>
      </c>
      <c r="H59" s="52"/>
      <c r="I59" s="52">
        <v>0</v>
      </c>
      <c r="J59" s="52"/>
      <c r="K59" s="52">
        <v>0</v>
      </c>
      <c r="L59" s="52"/>
      <c r="M59" s="52">
        <v>0</v>
      </c>
      <c r="N59" s="52"/>
      <c r="O59" s="52">
        <v>0</v>
      </c>
      <c r="P59" s="52"/>
      <c r="Q59" s="52">
        <v>0</v>
      </c>
      <c r="R59" s="52"/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/>
      <c r="AE59" s="52"/>
      <c r="AF59" s="52"/>
      <c r="AG59" s="52"/>
      <c r="AH59" s="52"/>
      <c r="AI59" s="52"/>
      <c r="AJ59" s="52"/>
      <c r="AL59" s="52">
        <v>0</v>
      </c>
      <c r="AM59" s="52">
        <f t="shared" si="128"/>
        <v>0</v>
      </c>
      <c r="AN59" s="52">
        <f t="shared" si="129"/>
        <v>0</v>
      </c>
      <c r="AO59" s="52">
        <f t="shared" si="130"/>
        <v>0</v>
      </c>
      <c r="AP59" s="52"/>
      <c r="AQ59" s="52">
        <f t="shared" si="131"/>
        <v>0</v>
      </c>
      <c r="AR59" s="52">
        <f t="shared" si="132"/>
        <v>0</v>
      </c>
      <c r="AS59" s="52">
        <f t="shared" si="133"/>
        <v>0</v>
      </c>
      <c r="AT59" s="52"/>
      <c r="AU59" s="52">
        <f t="shared" si="134"/>
        <v>0</v>
      </c>
      <c r="AV59" s="52">
        <f t="shared" si="135"/>
        <v>0</v>
      </c>
      <c r="AW59" s="52">
        <f t="shared" si="136"/>
        <v>0</v>
      </c>
      <c r="AX59" s="52"/>
      <c r="AY59" s="52">
        <f t="shared" si="137"/>
        <v>0</v>
      </c>
      <c r="AZ59" s="52">
        <f t="shared" si="138"/>
        <v>0</v>
      </c>
      <c r="BA59" s="52">
        <f t="shared" si="139"/>
        <v>0</v>
      </c>
      <c r="BB59" s="52">
        <f t="shared" si="140"/>
        <v>0</v>
      </c>
      <c r="BC59" s="52">
        <f t="shared" si="141"/>
        <v>0</v>
      </c>
      <c r="BD59" s="52">
        <f t="shared" si="142"/>
        <v>0</v>
      </c>
      <c r="BE59" s="52">
        <f t="shared" si="143"/>
        <v>0</v>
      </c>
      <c r="BF59" s="52">
        <f t="shared" si="144"/>
        <v>0</v>
      </c>
      <c r="BG59" s="52">
        <f t="shared" si="145"/>
        <v>0</v>
      </c>
      <c r="BH59" s="52">
        <f t="shared" si="146"/>
        <v>0</v>
      </c>
      <c r="BI59" s="52">
        <f t="shared" si="147"/>
        <v>0</v>
      </c>
      <c r="BJ59" s="52">
        <f t="shared" si="148"/>
        <v>0</v>
      </c>
      <c r="BK59" s="52">
        <f t="shared" si="149"/>
        <v>0</v>
      </c>
      <c r="BL59" s="52">
        <f t="shared" si="150"/>
        <v>0</v>
      </c>
      <c r="BM59" s="52">
        <f t="shared" si="151"/>
        <v>0</v>
      </c>
      <c r="BN59" s="52">
        <f t="shared" si="152"/>
        <v>0</v>
      </c>
      <c r="BO59" s="52">
        <f t="shared" si="153"/>
        <v>0</v>
      </c>
      <c r="BP59" s="52">
        <f t="shared" si="154"/>
        <v>0</v>
      </c>
      <c r="BQ59" s="52">
        <f t="shared" si="155"/>
        <v>0</v>
      </c>
      <c r="BR59" s="52">
        <f t="shared" si="156"/>
        <v>0</v>
      </c>
      <c r="BS59" s="46"/>
      <c r="BT59" s="46"/>
      <c r="BU59" s="46"/>
      <c r="BV59" s="46"/>
      <c r="BW59" s="46"/>
      <c r="BX59" s="46"/>
      <c r="BY59" s="46"/>
      <c r="BZ59" s="46"/>
    </row>
    <row r="60" spans="2:78" s="47" customFormat="1" ht="12" customHeight="1" x14ac:dyDescent="0.2">
      <c r="B60" s="51"/>
      <c r="C60" s="67" t="s">
        <v>165</v>
      </c>
      <c r="D60" s="52">
        <v>165</v>
      </c>
      <c r="E60" s="52">
        <v>216</v>
      </c>
      <c r="F60" s="52">
        <v>281</v>
      </c>
      <c r="G60" s="52">
        <v>281</v>
      </c>
      <c r="H60" s="52"/>
      <c r="I60" s="52">
        <v>0</v>
      </c>
      <c r="J60" s="52"/>
      <c r="K60" s="52">
        <v>0</v>
      </c>
      <c r="L60" s="52"/>
      <c r="M60" s="52">
        <v>0</v>
      </c>
      <c r="N60" s="52"/>
      <c r="O60" s="52">
        <v>0</v>
      </c>
      <c r="P60" s="52"/>
      <c r="Q60" s="52">
        <v>0</v>
      </c>
      <c r="R60" s="52"/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/>
      <c r="AE60" s="52"/>
      <c r="AF60" s="52"/>
      <c r="AG60" s="52"/>
      <c r="AH60" s="52"/>
      <c r="AI60" s="52"/>
      <c r="AJ60" s="52"/>
      <c r="AL60" s="52">
        <v>165</v>
      </c>
      <c r="AM60" s="52">
        <f t="shared" si="128"/>
        <v>51</v>
      </c>
      <c r="AN60" s="52">
        <f t="shared" si="129"/>
        <v>65</v>
      </c>
      <c r="AO60" s="52">
        <f t="shared" si="130"/>
        <v>0</v>
      </c>
      <c r="AP60" s="52"/>
      <c r="AQ60" s="52">
        <f t="shared" si="131"/>
        <v>0</v>
      </c>
      <c r="AR60" s="52">
        <f t="shared" si="132"/>
        <v>0</v>
      </c>
      <c r="AS60" s="52">
        <f t="shared" si="133"/>
        <v>0</v>
      </c>
      <c r="AT60" s="52"/>
      <c r="AU60" s="52">
        <f t="shared" si="134"/>
        <v>0</v>
      </c>
      <c r="AV60" s="52">
        <f t="shared" si="135"/>
        <v>0</v>
      </c>
      <c r="AW60" s="52">
        <f t="shared" si="136"/>
        <v>0</v>
      </c>
      <c r="AX60" s="52"/>
      <c r="AY60" s="52">
        <f t="shared" si="137"/>
        <v>0</v>
      </c>
      <c r="AZ60" s="52">
        <f t="shared" si="138"/>
        <v>0</v>
      </c>
      <c r="BA60" s="52">
        <f t="shared" si="139"/>
        <v>0</v>
      </c>
      <c r="BB60" s="52">
        <f t="shared" si="140"/>
        <v>0</v>
      </c>
      <c r="BC60" s="52">
        <f t="shared" si="141"/>
        <v>0</v>
      </c>
      <c r="BD60" s="52">
        <f t="shared" si="142"/>
        <v>0</v>
      </c>
      <c r="BE60" s="52">
        <f t="shared" si="143"/>
        <v>0</v>
      </c>
      <c r="BF60" s="52">
        <f t="shared" si="144"/>
        <v>0</v>
      </c>
      <c r="BG60" s="52">
        <f t="shared" si="145"/>
        <v>0</v>
      </c>
      <c r="BH60" s="52">
        <f t="shared" si="146"/>
        <v>0</v>
      </c>
      <c r="BI60" s="52">
        <f t="shared" si="147"/>
        <v>0</v>
      </c>
      <c r="BJ60" s="52">
        <f t="shared" si="148"/>
        <v>0</v>
      </c>
      <c r="BK60" s="52">
        <f t="shared" si="149"/>
        <v>0</v>
      </c>
      <c r="BL60" s="52">
        <f t="shared" si="150"/>
        <v>0</v>
      </c>
      <c r="BM60" s="52">
        <f t="shared" si="151"/>
        <v>0</v>
      </c>
      <c r="BN60" s="52">
        <f t="shared" si="152"/>
        <v>0</v>
      </c>
      <c r="BO60" s="52">
        <f t="shared" si="153"/>
        <v>0</v>
      </c>
      <c r="BP60" s="52">
        <f t="shared" si="154"/>
        <v>0</v>
      </c>
      <c r="BQ60" s="52">
        <f t="shared" si="155"/>
        <v>0</v>
      </c>
      <c r="BR60" s="52">
        <f t="shared" si="156"/>
        <v>0</v>
      </c>
      <c r="BS60" s="46"/>
      <c r="BT60" s="46"/>
      <c r="BU60" s="46"/>
      <c r="BV60" s="46"/>
      <c r="BW60" s="46"/>
      <c r="BX60" s="46"/>
      <c r="BY60" s="46"/>
      <c r="BZ60" s="46"/>
    </row>
    <row r="61" spans="2:78" s="47" customFormat="1" ht="12" customHeight="1" x14ac:dyDescent="0.2">
      <c r="B61" s="51"/>
      <c r="C61" s="67" t="s">
        <v>166</v>
      </c>
      <c r="D61" s="52">
        <v>-4374</v>
      </c>
      <c r="E61" s="52">
        <v>-4374</v>
      </c>
      <c r="F61" s="52">
        <v>-8353</v>
      </c>
      <c r="G61" s="52">
        <v>-8353</v>
      </c>
      <c r="H61" s="52"/>
      <c r="I61" s="52">
        <v>0</v>
      </c>
      <c r="J61" s="52"/>
      <c r="K61" s="52">
        <v>0</v>
      </c>
      <c r="L61" s="52"/>
      <c r="M61" s="52">
        <v>0</v>
      </c>
      <c r="N61" s="52"/>
      <c r="O61" s="52">
        <v>-2705</v>
      </c>
      <c r="P61" s="52"/>
      <c r="Q61" s="52">
        <v>0</v>
      </c>
      <c r="R61" s="52">
        <v>-7127</v>
      </c>
      <c r="S61" s="52">
        <v>-7127</v>
      </c>
      <c r="T61" s="52">
        <v>-11036</v>
      </c>
      <c r="U61" s="52">
        <v>-11036</v>
      </c>
      <c r="V61" s="52">
        <v>-10859</v>
      </c>
      <c r="W61" s="52">
        <v>-10860</v>
      </c>
      <c r="X61" s="52">
        <v>0</v>
      </c>
      <c r="Y61" s="52">
        <v>0</v>
      </c>
      <c r="Z61" s="52">
        <v>50</v>
      </c>
      <c r="AA61" s="52">
        <v>0</v>
      </c>
      <c r="AB61" s="52">
        <v>0</v>
      </c>
      <c r="AC61" s="52">
        <v>-1046</v>
      </c>
      <c r="AD61" s="52">
        <v>-1045</v>
      </c>
      <c r="AE61" s="52"/>
      <c r="AF61" s="52"/>
      <c r="AG61" s="52">
        <v>0</v>
      </c>
      <c r="AH61" s="52">
        <v>0</v>
      </c>
      <c r="AI61" s="52"/>
      <c r="AJ61" s="52"/>
      <c r="AL61" s="52">
        <v>-4374</v>
      </c>
      <c r="AM61" s="52">
        <f t="shared" si="128"/>
        <v>0</v>
      </c>
      <c r="AN61" s="52">
        <f t="shared" si="129"/>
        <v>-3979</v>
      </c>
      <c r="AO61" s="52">
        <f t="shared" si="130"/>
        <v>0</v>
      </c>
      <c r="AP61" s="52"/>
      <c r="AQ61" s="52">
        <f t="shared" si="131"/>
        <v>0</v>
      </c>
      <c r="AR61" s="52">
        <f t="shared" si="132"/>
        <v>0</v>
      </c>
      <c r="AS61" s="52">
        <f t="shared" si="133"/>
        <v>0</v>
      </c>
      <c r="AT61" s="52"/>
      <c r="AU61" s="52">
        <f t="shared" si="134"/>
        <v>0</v>
      </c>
      <c r="AV61" s="52">
        <f t="shared" si="135"/>
        <v>0</v>
      </c>
      <c r="AW61" s="52">
        <f t="shared" si="136"/>
        <v>-2705</v>
      </c>
      <c r="AX61" s="52"/>
      <c r="AY61" s="52">
        <f t="shared" si="137"/>
        <v>0</v>
      </c>
      <c r="AZ61" s="52">
        <f t="shared" si="138"/>
        <v>-7127</v>
      </c>
      <c r="BA61" s="52">
        <f t="shared" si="139"/>
        <v>0</v>
      </c>
      <c r="BB61" s="52">
        <f t="shared" si="140"/>
        <v>-11036</v>
      </c>
      <c r="BC61" s="52">
        <f t="shared" si="141"/>
        <v>0</v>
      </c>
      <c r="BD61" s="52">
        <f t="shared" si="142"/>
        <v>177</v>
      </c>
      <c r="BE61" s="52">
        <f t="shared" si="143"/>
        <v>-1</v>
      </c>
      <c r="BF61" s="52">
        <f t="shared" si="144"/>
        <v>0</v>
      </c>
      <c r="BG61" s="52">
        <f t="shared" si="145"/>
        <v>0</v>
      </c>
      <c r="BH61" s="52">
        <f t="shared" si="146"/>
        <v>50</v>
      </c>
      <c r="BI61" s="52">
        <f t="shared" si="147"/>
        <v>-50</v>
      </c>
      <c r="BJ61" s="52">
        <f t="shared" si="148"/>
        <v>0</v>
      </c>
      <c r="BK61" s="52">
        <f t="shared" si="149"/>
        <v>-1046</v>
      </c>
      <c r="BL61" s="52">
        <f t="shared" si="150"/>
        <v>1</v>
      </c>
      <c r="BM61" s="52">
        <f t="shared" si="151"/>
        <v>1045</v>
      </c>
      <c r="BN61" s="52">
        <f t="shared" si="152"/>
        <v>0</v>
      </c>
      <c r="BO61" s="52">
        <f t="shared" si="153"/>
        <v>0</v>
      </c>
      <c r="BP61" s="52">
        <f t="shared" si="154"/>
        <v>0</v>
      </c>
      <c r="BQ61" s="52">
        <f t="shared" si="155"/>
        <v>0</v>
      </c>
      <c r="BR61" s="52">
        <f t="shared" si="156"/>
        <v>0</v>
      </c>
      <c r="BS61" s="46"/>
      <c r="BT61" s="46"/>
      <c r="BU61" s="46"/>
      <c r="BV61" s="46"/>
      <c r="BW61" s="46"/>
      <c r="BX61" s="46"/>
      <c r="BY61" s="46"/>
      <c r="BZ61" s="46"/>
    </row>
    <row r="62" spans="2:78" s="47" customFormat="1" ht="12" customHeight="1" x14ac:dyDescent="0.2">
      <c r="B62" s="51"/>
      <c r="C62" s="67" t="s">
        <v>167</v>
      </c>
      <c r="D62" s="52"/>
      <c r="E62" s="52">
        <v>0</v>
      </c>
      <c r="F62" s="52"/>
      <c r="G62" s="52">
        <v>0</v>
      </c>
      <c r="H62" s="52"/>
      <c r="I62" s="52">
        <v>0</v>
      </c>
      <c r="J62" s="52"/>
      <c r="K62" s="52">
        <v>0</v>
      </c>
      <c r="L62" s="52"/>
      <c r="M62" s="52">
        <v>0</v>
      </c>
      <c r="N62" s="52"/>
      <c r="O62" s="52">
        <v>1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380</v>
      </c>
      <c r="V62" s="52">
        <v>380</v>
      </c>
      <c r="W62" s="52">
        <v>379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/>
      <c r="AE62" s="52"/>
      <c r="AF62" s="52"/>
      <c r="AG62" s="52"/>
      <c r="AH62" s="52"/>
      <c r="AI62" s="52"/>
      <c r="AJ62" s="52"/>
      <c r="AL62" s="52"/>
      <c r="AM62" s="52">
        <f t="shared" si="128"/>
        <v>0</v>
      </c>
      <c r="AN62" s="52">
        <f t="shared" si="129"/>
        <v>0</v>
      </c>
      <c r="AO62" s="52">
        <f t="shared" si="130"/>
        <v>0</v>
      </c>
      <c r="AP62" s="52"/>
      <c r="AQ62" s="52">
        <f t="shared" si="131"/>
        <v>0</v>
      </c>
      <c r="AR62" s="52">
        <f t="shared" si="132"/>
        <v>0</v>
      </c>
      <c r="AS62" s="52">
        <f t="shared" si="133"/>
        <v>0</v>
      </c>
      <c r="AT62" s="52"/>
      <c r="AU62" s="52">
        <f t="shared" si="134"/>
        <v>0</v>
      </c>
      <c r="AV62" s="52">
        <f t="shared" si="135"/>
        <v>0</v>
      </c>
      <c r="AW62" s="52">
        <f t="shared" si="136"/>
        <v>1</v>
      </c>
      <c r="AX62" s="52">
        <v>0</v>
      </c>
      <c r="AY62" s="52">
        <f t="shared" si="137"/>
        <v>0</v>
      </c>
      <c r="AZ62" s="52">
        <f t="shared" si="138"/>
        <v>0</v>
      </c>
      <c r="BA62" s="52">
        <f t="shared" si="139"/>
        <v>0</v>
      </c>
      <c r="BB62" s="52">
        <f t="shared" si="140"/>
        <v>0</v>
      </c>
      <c r="BC62" s="52">
        <f t="shared" si="141"/>
        <v>380</v>
      </c>
      <c r="BD62" s="52">
        <f t="shared" si="142"/>
        <v>0</v>
      </c>
      <c r="BE62" s="52">
        <f t="shared" si="143"/>
        <v>-1</v>
      </c>
      <c r="BF62" s="52">
        <f t="shared" si="144"/>
        <v>0</v>
      </c>
      <c r="BG62" s="52">
        <f t="shared" si="145"/>
        <v>0</v>
      </c>
      <c r="BH62" s="52">
        <f t="shared" si="146"/>
        <v>0</v>
      </c>
      <c r="BI62" s="52">
        <f t="shared" si="147"/>
        <v>0</v>
      </c>
      <c r="BJ62" s="52">
        <f t="shared" si="148"/>
        <v>0</v>
      </c>
      <c r="BK62" s="52">
        <f t="shared" si="149"/>
        <v>0</v>
      </c>
      <c r="BL62" s="52">
        <f t="shared" si="150"/>
        <v>0</v>
      </c>
      <c r="BM62" s="52">
        <f t="shared" si="151"/>
        <v>0</v>
      </c>
      <c r="BN62" s="52">
        <f t="shared" si="152"/>
        <v>0</v>
      </c>
      <c r="BO62" s="52">
        <f t="shared" si="153"/>
        <v>0</v>
      </c>
      <c r="BP62" s="52">
        <f t="shared" si="154"/>
        <v>0</v>
      </c>
      <c r="BQ62" s="52">
        <f t="shared" si="155"/>
        <v>0</v>
      </c>
      <c r="BR62" s="52">
        <f t="shared" si="156"/>
        <v>0</v>
      </c>
      <c r="BS62" s="46"/>
      <c r="BT62" s="46"/>
      <c r="BU62" s="46"/>
      <c r="BV62" s="46"/>
      <c r="BW62" s="46"/>
      <c r="BX62" s="46"/>
      <c r="BY62" s="46"/>
      <c r="BZ62" s="46"/>
    </row>
    <row r="63" spans="2:78" s="47" customFormat="1" ht="12" customHeight="1" x14ac:dyDescent="0.2">
      <c r="B63" s="51"/>
      <c r="C63" s="67" t="s">
        <v>191</v>
      </c>
      <c r="D63" s="52"/>
      <c r="E63" s="52">
        <v>0</v>
      </c>
      <c r="F63" s="52"/>
      <c r="G63" s="52">
        <v>0</v>
      </c>
      <c r="H63" s="52"/>
      <c r="I63" s="52">
        <v>0</v>
      </c>
      <c r="J63" s="52"/>
      <c r="K63" s="52">
        <v>0</v>
      </c>
      <c r="L63" s="52"/>
      <c r="M63" s="52">
        <v>0</v>
      </c>
      <c r="N63" s="52"/>
      <c r="O63" s="52">
        <v>0</v>
      </c>
      <c r="P63" s="52"/>
      <c r="Q63" s="52">
        <v>0</v>
      </c>
      <c r="R63" s="52"/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/>
      <c r="AE63" s="52"/>
      <c r="AF63" s="52"/>
      <c r="AG63" s="52"/>
      <c r="AH63" s="52"/>
      <c r="AI63" s="52"/>
      <c r="AJ63" s="52"/>
      <c r="AL63" s="52"/>
      <c r="AM63" s="52">
        <f t="shared" si="128"/>
        <v>0</v>
      </c>
      <c r="AN63" s="52">
        <f t="shared" si="129"/>
        <v>0</v>
      </c>
      <c r="AO63" s="52">
        <f t="shared" si="130"/>
        <v>0</v>
      </c>
      <c r="AP63" s="52"/>
      <c r="AQ63" s="52">
        <f t="shared" si="131"/>
        <v>0</v>
      </c>
      <c r="AR63" s="52">
        <f t="shared" si="132"/>
        <v>0</v>
      </c>
      <c r="AS63" s="52">
        <f t="shared" si="133"/>
        <v>0</v>
      </c>
      <c r="AT63" s="52"/>
      <c r="AU63" s="52">
        <f t="shared" si="134"/>
        <v>0</v>
      </c>
      <c r="AV63" s="52">
        <f t="shared" si="135"/>
        <v>0</v>
      </c>
      <c r="AW63" s="52">
        <f t="shared" si="136"/>
        <v>0</v>
      </c>
      <c r="AX63" s="52"/>
      <c r="AY63" s="52">
        <f t="shared" si="137"/>
        <v>0</v>
      </c>
      <c r="AZ63" s="52">
        <f t="shared" si="138"/>
        <v>0</v>
      </c>
      <c r="BA63" s="52">
        <f t="shared" si="139"/>
        <v>0</v>
      </c>
      <c r="BB63" s="52">
        <f t="shared" si="140"/>
        <v>0</v>
      </c>
      <c r="BC63" s="52">
        <f t="shared" si="141"/>
        <v>0</v>
      </c>
      <c r="BD63" s="52">
        <f t="shared" si="142"/>
        <v>0</v>
      </c>
      <c r="BE63" s="52">
        <f t="shared" si="143"/>
        <v>0</v>
      </c>
      <c r="BF63" s="52">
        <f t="shared" si="144"/>
        <v>0</v>
      </c>
      <c r="BG63" s="52">
        <f t="shared" si="145"/>
        <v>0</v>
      </c>
      <c r="BH63" s="52">
        <f t="shared" si="146"/>
        <v>0</v>
      </c>
      <c r="BI63" s="52">
        <f t="shared" si="147"/>
        <v>0</v>
      </c>
      <c r="BJ63" s="52">
        <f t="shared" si="148"/>
        <v>0</v>
      </c>
      <c r="BK63" s="52">
        <f t="shared" si="149"/>
        <v>0</v>
      </c>
      <c r="BL63" s="52">
        <f t="shared" si="150"/>
        <v>0</v>
      </c>
      <c r="BM63" s="52">
        <f t="shared" si="151"/>
        <v>0</v>
      </c>
      <c r="BN63" s="52">
        <f t="shared" si="152"/>
        <v>0</v>
      </c>
      <c r="BO63" s="52">
        <f t="shared" si="153"/>
        <v>0</v>
      </c>
      <c r="BP63" s="52">
        <f t="shared" si="154"/>
        <v>0</v>
      </c>
      <c r="BQ63" s="52">
        <f t="shared" si="155"/>
        <v>0</v>
      </c>
      <c r="BR63" s="52">
        <f t="shared" si="156"/>
        <v>0</v>
      </c>
      <c r="BS63" s="46"/>
      <c r="BT63" s="46"/>
      <c r="BU63" s="46"/>
      <c r="BV63" s="46"/>
      <c r="BW63" s="46"/>
      <c r="BY63" s="46"/>
      <c r="BZ63" s="46"/>
    </row>
    <row r="64" spans="2:78" s="47" customFormat="1" ht="12" customHeight="1" x14ac:dyDescent="0.2">
      <c r="B64" s="51"/>
      <c r="C64" s="67" t="s">
        <v>168</v>
      </c>
      <c r="D64" s="52"/>
      <c r="E64" s="52">
        <v>-120</v>
      </c>
      <c r="F64" s="52">
        <v>-40</v>
      </c>
      <c r="G64" s="52">
        <v>-50</v>
      </c>
      <c r="H64" s="52"/>
      <c r="I64" s="52">
        <v>0</v>
      </c>
      <c r="J64" s="52"/>
      <c r="K64" s="52">
        <v>0</v>
      </c>
      <c r="L64" s="52"/>
      <c r="M64" s="52">
        <v>0</v>
      </c>
      <c r="N64" s="52"/>
      <c r="O64" s="52">
        <v>0</v>
      </c>
      <c r="P64" s="52"/>
      <c r="Q64" s="52">
        <v>0</v>
      </c>
      <c r="R64" s="52"/>
      <c r="S64" s="52">
        <v>-2000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/>
      <c r="AE64" s="52"/>
      <c r="AF64" s="52"/>
      <c r="AG64" s="52"/>
      <c r="AH64" s="52"/>
      <c r="AI64" s="52"/>
      <c r="AJ64" s="52"/>
      <c r="AL64" s="52"/>
      <c r="AM64" s="52">
        <f t="shared" si="128"/>
        <v>-120</v>
      </c>
      <c r="AN64" s="52">
        <f t="shared" si="129"/>
        <v>80</v>
      </c>
      <c r="AO64" s="52">
        <f t="shared" si="130"/>
        <v>-10</v>
      </c>
      <c r="AP64" s="52"/>
      <c r="AQ64" s="52">
        <f t="shared" si="131"/>
        <v>0</v>
      </c>
      <c r="AR64" s="52">
        <f t="shared" si="132"/>
        <v>0</v>
      </c>
      <c r="AS64" s="52">
        <f t="shared" si="133"/>
        <v>0</v>
      </c>
      <c r="AT64" s="52"/>
      <c r="AU64" s="52">
        <f t="shared" si="134"/>
        <v>0</v>
      </c>
      <c r="AV64" s="52">
        <f t="shared" si="135"/>
        <v>0</v>
      </c>
      <c r="AW64" s="52">
        <f t="shared" si="136"/>
        <v>0</v>
      </c>
      <c r="AX64" s="52"/>
      <c r="AY64" s="52">
        <f t="shared" si="137"/>
        <v>0</v>
      </c>
      <c r="AZ64" s="52">
        <f t="shared" si="138"/>
        <v>0</v>
      </c>
      <c r="BA64" s="52">
        <f t="shared" si="139"/>
        <v>-2000</v>
      </c>
      <c r="BB64" s="52">
        <f t="shared" si="140"/>
        <v>0</v>
      </c>
      <c r="BC64" s="52">
        <f t="shared" si="141"/>
        <v>0</v>
      </c>
      <c r="BD64" s="52">
        <f t="shared" si="142"/>
        <v>0</v>
      </c>
      <c r="BE64" s="52">
        <f t="shared" si="143"/>
        <v>0</v>
      </c>
      <c r="BF64" s="52">
        <f t="shared" si="144"/>
        <v>0</v>
      </c>
      <c r="BG64" s="52">
        <f t="shared" si="145"/>
        <v>0</v>
      </c>
      <c r="BH64" s="52">
        <f t="shared" si="146"/>
        <v>0</v>
      </c>
      <c r="BI64" s="52">
        <f t="shared" si="147"/>
        <v>0</v>
      </c>
      <c r="BJ64" s="52">
        <f t="shared" si="148"/>
        <v>0</v>
      </c>
      <c r="BK64" s="52">
        <f t="shared" si="149"/>
        <v>0</v>
      </c>
      <c r="BL64" s="52">
        <f t="shared" si="150"/>
        <v>0</v>
      </c>
      <c r="BM64" s="52">
        <f t="shared" si="151"/>
        <v>0</v>
      </c>
      <c r="BN64" s="52">
        <f t="shared" si="152"/>
        <v>0</v>
      </c>
      <c r="BO64" s="52">
        <f t="shared" si="153"/>
        <v>0</v>
      </c>
      <c r="BP64" s="52">
        <f t="shared" si="154"/>
        <v>0</v>
      </c>
      <c r="BQ64" s="52">
        <f t="shared" si="155"/>
        <v>0</v>
      </c>
      <c r="BR64" s="52">
        <f t="shared" si="156"/>
        <v>0</v>
      </c>
      <c r="BS64" s="46"/>
      <c r="BT64" s="46"/>
      <c r="BU64" s="46"/>
      <c r="BV64" s="46"/>
      <c r="BW64" s="46"/>
      <c r="BX64" s="46"/>
      <c r="BY64" s="46"/>
      <c r="BZ64" s="46"/>
    </row>
    <row r="65" spans="2:78" s="47" customFormat="1" ht="12" customHeight="1" x14ac:dyDescent="0.2">
      <c r="B65" s="51"/>
      <c r="C65" s="67" t="s">
        <v>169</v>
      </c>
      <c r="D65" s="52"/>
      <c r="E65" s="52"/>
      <c r="F65" s="52">
        <v>0</v>
      </c>
      <c r="G65" s="52">
        <v>0</v>
      </c>
      <c r="H65" s="52"/>
      <c r="I65" s="52">
        <v>0</v>
      </c>
      <c r="J65" s="52">
        <v>50</v>
      </c>
      <c r="K65" s="52">
        <v>50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2000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/>
      <c r="AE65" s="52"/>
      <c r="AF65" s="52"/>
      <c r="AG65" s="52"/>
      <c r="AH65" s="52"/>
      <c r="AI65" s="52"/>
      <c r="AJ65" s="52"/>
      <c r="AL65" s="52"/>
      <c r="AM65" s="52">
        <f t="shared" si="128"/>
        <v>0</v>
      </c>
      <c r="AN65" s="52">
        <f t="shared" si="129"/>
        <v>0</v>
      </c>
      <c r="AO65" s="52">
        <f t="shared" si="130"/>
        <v>0</v>
      </c>
      <c r="AP65" s="52"/>
      <c r="AQ65" s="52">
        <f t="shared" si="131"/>
        <v>0</v>
      </c>
      <c r="AR65" s="52">
        <f t="shared" si="132"/>
        <v>50</v>
      </c>
      <c r="AS65" s="52">
        <f t="shared" si="133"/>
        <v>0</v>
      </c>
      <c r="AT65" s="52">
        <v>0</v>
      </c>
      <c r="AU65" s="52">
        <f t="shared" si="134"/>
        <v>0</v>
      </c>
      <c r="AV65" s="52">
        <f t="shared" si="135"/>
        <v>0</v>
      </c>
      <c r="AW65" s="52">
        <f t="shared" si="136"/>
        <v>0</v>
      </c>
      <c r="AX65" s="52">
        <v>0</v>
      </c>
      <c r="AY65" s="52">
        <f t="shared" si="137"/>
        <v>0</v>
      </c>
      <c r="AZ65" s="52">
        <f t="shared" si="138"/>
        <v>0</v>
      </c>
      <c r="BA65" s="52">
        <f t="shared" si="139"/>
        <v>2000</v>
      </c>
      <c r="BB65" s="52">
        <f t="shared" si="140"/>
        <v>0</v>
      </c>
      <c r="BC65" s="52">
        <f t="shared" si="141"/>
        <v>0</v>
      </c>
      <c r="BD65" s="52">
        <f t="shared" si="142"/>
        <v>0</v>
      </c>
      <c r="BE65" s="52">
        <f t="shared" si="143"/>
        <v>0</v>
      </c>
      <c r="BF65" s="52">
        <f t="shared" si="144"/>
        <v>0</v>
      </c>
      <c r="BG65" s="52">
        <f t="shared" si="145"/>
        <v>0</v>
      </c>
      <c r="BH65" s="52">
        <f t="shared" si="146"/>
        <v>0</v>
      </c>
      <c r="BI65" s="52">
        <f t="shared" si="147"/>
        <v>0</v>
      </c>
      <c r="BJ65" s="52">
        <f t="shared" si="148"/>
        <v>0</v>
      </c>
      <c r="BK65" s="52">
        <f t="shared" si="149"/>
        <v>0</v>
      </c>
      <c r="BL65" s="52">
        <f t="shared" si="150"/>
        <v>0</v>
      </c>
      <c r="BM65" s="52">
        <f t="shared" si="151"/>
        <v>0</v>
      </c>
      <c r="BN65" s="52">
        <f t="shared" si="152"/>
        <v>0</v>
      </c>
      <c r="BO65" s="52">
        <f t="shared" si="153"/>
        <v>0</v>
      </c>
      <c r="BP65" s="52">
        <f t="shared" si="154"/>
        <v>0</v>
      </c>
      <c r="BQ65" s="52">
        <f t="shared" si="155"/>
        <v>0</v>
      </c>
      <c r="BR65" s="52">
        <f t="shared" si="156"/>
        <v>0</v>
      </c>
      <c r="BS65" s="46"/>
      <c r="BT65" s="46"/>
      <c r="BU65" s="46"/>
      <c r="BV65" s="46"/>
      <c r="BW65" s="46"/>
      <c r="BX65" s="46"/>
      <c r="BY65" s="46"/>
      <c r="BZ65" s="46"/>
    </row>
    <row r="66" spans="2:78" s="47" customFormat="1" ht="12" customHeight="1" x14ac:dyDescent="0.2">
      <c r="B66" s="51"/>
      <c r="C66" s="67" t="s">
        <v>170</v>
      </c>
      <c r="D66" s="52">
        <v>0</v>
      </c>
      <c r="E66" s="52">
        <v>71</v>
      </c>
      <c r="F66" s="52">
        <v>71</v>
      </c>
      <c r="G66" s="52">
        <v>0</v>
      </c>
      <c r="H66" s="52"/>
      <c r="I66" s="52">
        <v>0</v>
      </c>
      <c r="J66" s="52">
        <v>2</v>
      </c>
      <c r="K66" s="52">
        <v>3</v>
      </c>
      <c r="L66" s="52">
        <v>0</v>
      </c>
      <c r="M66" s="52">
        <v>0</v>
      </c>
      <c r="N66" s="52">
        <v>1</v>
      </c>
      <c r="O66" s="52">
        <v>0</v>
      </c>
      <c r="P66" s="52">
        <v>0</v>
      </c>
      <c r="Q66" s="52">
        <v>0</v>
      </c>
      <c r="R66" s="52">
        <v>0</v>
      </c>
      <c r="S66" s="52">
        <v>50</v>
      </c>
      <c r="T66" s="52">
        <v>0</v>
      </c>
      <c r="U66" s="52">
        <v>0</v>
      </c>
      <c r="V66" s="52">
        <v>0</v>
      </c>
      <c r="W66" s="52">
        <v>3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/>
      <c r="AE66" s="52"/>
      <c r="AF66" s="52"/>
      <c r="AG66" s="52"/>
      <c r="AH66" s="52"/>
      <c r="AI66" s="52"/>
      <c r="AJ66" s="52"/>
      <c r="AL66" s="52">
        <v>0</v>
      </c>
      <c r="AM66" s="52">
        <f t="shared" si="128"/>
        <v>71</v>
      </c>
      <c r="AN66" s="52">
        <f t="shared" si="129"/>
        <v>0</v>
      </c>
      <c r="AO66" s="52">
        <f t="shared" si="130"/>
        <v>-71</v>
      </c>
      <c r="AP66" s="52"/>
      <c r="AQ66" s="52">
        <f t="shared" si="131"/>
        <v>0</v>
      </c>
      <c r="AR66" s="52">
        <f t="shared" si="132"/>
        <v>2</v>
      </c>
      <c r="AS66" s="52">
        <f t="shared" si="133"/>
        <v>1</v>
      </c>
      <c r="AT66" s="52">
        <v>0</v>
      </c>
      <c r="AU66" s="52">
        <f t="shared" si="134"/>
        <v>0</v>
      </c>
      <c r="AV66" s="52">
        <f t="shared" si="135"/>
        <v>1</v>
      </c>
      <c r="AW66" s="52">
        <f t="shared" si="136"/>
        <v>-1</v>
      </c>
      <c r="AX66" s="52">
        <v>0</v>
      </c>
      <c r="AY66" s="52">
        <f t="shared" si="137"/>
        <v>0</v>
      </c>
      <c r="AZ66" s="52">
        <f t="shared" si="138"/>
        <v>0</v>
      </c>
      <c r="BA66" s="52">
        <f t="shared" si="139"/>
        <v>50</v>
      </c>
      <c r="BB66" s="52">
        <f t="shared" si="140"/>
        <v>0</v>
      </c>
      <c r="BC66" s="52">
        <f t="shared" si="141"/>
        <v>0</v>
      </c>
      <c r="BD66" s="52">
        <f t="shared" si="142"/>
        <v>0</v>
      </c>
      <c r="BE66" s="52">
        <f t="shared" si="143"/>
        <v>3</v>
      </c>
      <c r="BF66" s="52">
        <f t="shared" si="144"/>
        <v>0</v>
      </c>
      <c r="BG66" s="52">
        <f t="shared" si="145"/>
        <v>0</v>
      </c>
      <c r="BH66" s="52">
        <f t="shared" si="146"/>
        <v>0</v>
      </c>
      <c r="BI66" s="52">
        <f t="shared" si="147"/>
        <v>0</v>
      </c>
      <c r="BJ66" s="52">
        <f t="shared" si="148"/>
        <v>0</v>
      </c>
      <c r="BK66" s="52">
        <f t="shared" si="149"/>
        <v>0</v>
      </c>
      <c r="BL66" s="52">
        <f t="shared" si="150"/>
        <v>0</v>
      </c>
      <c r="BM66" s="52">
        <f t="shared" si="151"/>
        <v>0</v>
      </c>
      <c r="BN66" s="52">
        <f t="shared" si="152"/>
        <v>0</v>
      </c>
      <c r="BO66" s="52">
        <f t="shared" si="153"/>
        <v>0</v>
      </c>
      <c r="BP66" s="52">
        <f t="shared" si="154"/>
        <v>0</v>
      </c>
      <c r="BQ66" s="52">
        <f t="shared" si="155"/>
        <v>0</v>
      </c>
      <c r="BR66" s="52">
        <f t="shared" si="156"/>
        <v>0</v>
      </c>
      <c r="BS66" s="46"/>
      <c r="BT66" s="46"/>
      <c r="BU66" s="46"/>
      <c r="BV66" s="46"/>
      <c r="BW66" s="46"/>
      <c r="BX66" s="46"/>
      <c r="BZ66" s="46"/>
    </row>
    <row r="67" spans="2:78" s="47" customFormat="1" ht="12" customHeight="1" x14ac:dyDescent="0.2">
      <c r="B67" s="51"/>
      <c r="C67" s="67" t="s">
        <v>171</v>
      </c>
      <c r="D67" s="52">
        <v>1025</v>
      </c>
      <c r="E67" s="52">
        <v>1021</v>
      </c>
      <c r="F67" s="52">
        <v>1021</v>
      </c>
      <c r="G67" s="52">
        <v>1021</v>
      </c>
      <c r="H67" s="52"/>
      <c r="I67" s="52">
        <v>1332</v>
      </c>
      <c r="J67" s="52">
        <v>1332</v>
      </c>
      <c r="K67" s="52">
        <v>1332</v>
      </c>
      <c r="L67" s="52">
        <v>0</v>
      </c>
      <c r="M67" s="52">
        <v>0</v>
      </c>
      <c r="N67" s="52">
        <v>941</v>
      </c>
      <c r="O67" s="52">
        <v>1237</v>
      </c>
      <c r="P67" s="52">
        <v>0</v>
      </c>
      <c r="Q67" s="52">
        <v>396</v>
      </c>
      <c r="R67" s="52">
        <v>1109</v>
      </c>
      <c r="S67" s="52">
        <v>1109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/>
      <c r="AE67" s="52"/>
      <c r="AF67" s="52"/>
      <c r="AG67" s="52"/>
      <c r="AH67" s="52"/>
      <c r="AI67" s="52"/>
      <c r="AJ67" s="52"/>
      <c r="AL67" s="52">
        <v>1025</v>
      </c>
      <c r="AM67" s="52">
        <f t="shared" si="128"/>
        <v>-4</v>
      </c>
      <c r="AN67" s="52">
        <f t="shared" si="129"/>
        <v>0</v>
      </c>
      <c r="AO67" s="52">
        <f t="shared" si="130"/>
        <v>0</v>
      </c>
      <c r="AP67" s="52"/>
      <c r="AQ67" s="52">
        <f t="shared" si="131"/>
        <v>1332</v>
      </c>
      <c r="AR67" s="52">
        <f t="shared" si="132"/>
        <v>0</v>
      </c>
      <c r="AS67" s="52">
        <f t="shared" si="133"/>
        <v>0</v>
      </c>
      <c r="AT67" s="52">
        <v>0</v>
      </c>
      <c r="AU67" s="52">
        <f t="shared" si="134"/>
        <v>0</v>
      </c>
      <c r="AV67" s="52">
        <f t="shared" si="135"/>
        <v>941</v>
      </c>
      <c r="AW67" s="52">
        <f t="shared" si="136"/>
        <v>296</v>
      </c>
      <c r="AX67" s="52">
        <v>0</v>
      </c>
      <c r="AY67" s="52">
        <f t="shared" si="137"/>
        <v>396</v>
      </c>
      <c r="AZ67" s="52">
        <f t="shared" si="138"/>
        <v>713</v>
      </c>
      <c r="BA67" s="52">
        <f t="shared" si="139"/>
        <v>0</v>
      </c>
      <c r="BB67" s="52">
        <f t="shared" si="140"/>
        <v>0</v>
      </c>
      <c r="BC67" s="52">
        <f t="shared" si="141"/>
        <v>0</v>
      </c>
      <c r="BD67" s="52">
        <f t="shared" si="142"/>
        <v>0</v>
      </c>
      <c r="BE67" s="52">
        <f t="shared" si="143"/>
        <v>0</v>
      </c>
      <c r="BF67" s="52">
        <f t="shared" si="144"/>
        <v>0</v>
      </c>
      <c r="BG67" s="52">
        <f t="shared" si="145"/>
        <v>0</v>
      </c>
      <c r="BH67" s="52">
        <f t="shared" si="146"/>
        <v>0</v>
      </c>
      <c r="BI67" s="52">
        <f t="shared" si="147"/>
        <v>0</v>
      </c>
      <c r="BJ67" s="52">
        <f t="shared" si="148"/>
        <v>0</v>
      </c>
      <c r="BK67" s="52">
        <f t="shared" si="149"/>
        <v>0</v>
      </c>
      <c r="BL67" s="52">
        <f t="shared" si="150"/>
        <v>0</v>
      </c>
      <c r="BM67" s="52">
        <f t="shared" si="151"/>
        <v>0</v>
      </c>
      <c r="BN67" s="52">
        <f t="shared" si="152"/>
        <v>0</v>
      </c>
      <c r="BO67" s="52">
        <f t="shared" si="153"/>
        <v>0</v>
      </c>
      <c r="BP67" s="52">
        <f t="shared" si="154"/>
        <v>0</v>
      </c>
      <c r="BQ67" s="52">
        <f t="shared" si="155"/>
        <v>0</v>
      </c>
      <c r="BR67" s="52">
        <f t="shared" si="156"/>
        <v>0</v>
      </c>
      <c r="BS67" s="46"/>
      <c r="BT67" s="46"/>
      <c r="BW67" s="46"/>
      <c r="BX67" s="46"/>
      <c r="BZ67" s="46"/>
    </row>
    <row r="68" spans="2:78" s="47" customFormat="1" ht="12" customHeight="1" x14ac:dyDescent="0.2">
      <c r="B68" s="51"/>
      <c r="C68" s="67" t="s">
        <v>172</v>
      </c>
      <c r="D68" s="52">
        <v>-1877</v>
      </c>
      <c r="E68" s="52">
        <v>-2454</v>
      </c>
      <c r="F68" s="52">
        <v>-1580</v>
      </c>
      <c r="G68" s="52">
        <v>-950</v>
      </c>
      <c r="H68" s="52">
        <v>17</v>
      </c>
      <c r="I68" s="52">
        <v>354</v>
      </c>
      <c r="J68" s="52">
        <v>819</v>
      </c>
      <c r="K68" s="52">
        <v>-701</v>
      </c>
      <c r="L68" s="52">
        <v>-1184</v>
      </c>
      <c r="M68" s="52">
        <v>-1257</v>
      </c>
      <c r="N68" s="52">
        <v>-5536</v>
      </c>
      <c r="O68" s="52">
        <v>298</v>
      </c>
      <c r="P68" s="52">
        <v>-958</v>
      </c>
      <c r="Q68" s="52">
        <v>-3212</v>
      </c>
      <c r="R68" s="52">
        <v>-1986</v>
      </c>
      <c r="S68" s="52">
        <v>-3776</v>
      </c>
      <c r="T68" s="52">
        <v>54</v>
      </c>
      <c r="U68" s="52">
        <v>696</v>
      </c>
      <c r="V68" s="52">
        <v>629</v>
      </c>
      <c r="W68" s="52">
        <v>618</v>
      </c>
      <c r="X68" s="52">
        <v>-21</v>
      </c>
      <c r="Y68" s="52">
        <v>-648</v>
      </c>
      <c r="Z68" s="52">
        <v>-1809</v>
      </c>
      <c r="AA68" s="52">
        <v>-1119</v>
      </c>
      <c r="AB68" s="52">
        <v>-2009</v>
      </c>
      <c r="AC68" s="52">
        <v>-6967</v>
      </c>
      <c r="AD68" s="52">
        <v>-6397</v>
      </c>
      <c r="AE68" s="52">
        <v>-2058</v>
      </c>
      <c r="AF68" s="52">
        <v>-4108</v>
      </c>
      <c r="AG68" s="52">
        <v>-3774</v>
      </c>
      <c r="AH68" s="52">
        <v>-1593</v>
      </c>
      <c r="AI68" s="52">
        <v>-4620</v>
      </c>
      <c r="AJ68" s="52">
        <v>-835</v>
      </c>
      <c r="AL68" s="52">
        <v>-1877</v>
      </c>
      <c r="AM68" s="52">
        <f t="shared" si="128"/>
        <v>-577</v>
      </c>
      <c r="AN68" s="52">
        <f t="shared" si="129"/>
        <v>874</v>
      </c>
      <c r="AO68" s="52">
        <f t="shared" si="130"/>
        <v>630</v>
      </c>
      <c r="AP68" s="52">
        <v>17</v>
      </c>
      <c r="AQ68" s="52">
        <f t="shared" si="131"/>
        <v>337</v>
      </c>
      <c r="AR68" s="52">
        <f t="shared" si="132"/>
        <v>465</v>
      </c>
      <c r="AS68" s="52">
        <f t="shared" si="133"/>
        <v>-1520</v>
      </c>
      <c r="AT68" s="52">
        <v>-1184</v>
      </c>
      <c r="AU68" s="52">
        <f t="shared" si="134"/>
        <v>-73</v>
      </c>
      <c r="AV68" s="52">
        <f t="shared" si="135"/>
        <v>-4279</v>
      </c>
      <c r="AW68" s="52">
        <f t="shared" si="136"/>
        <v>5834</v>
      </c>
      <c r="AX68" s="52">
        <v>-958</v>
      </c>
      <c r="AY68" s="52">
        <f t="shared" si="137"/>
        <v>-2254</v>
      </c>
      <c r="AZ68" s="52">
        <f t="shared" si="138"/>
        <v>1226</v>
      </c>
      <c r="BA68" s="52">
        <f t="shared" si="139"/>
        <v>-1790</v>
      </c>
      <c r="BB68" s="52">
        <f t="shared" si="140"/>
        <v>54</v>
      </c>
      <c r="BC68" s="52">
        <f t="shared" si="141"/>
        <v>642</v>
      </c>
      <c r="BD68" s="52">
        <f t="shared" si="142"/>
        <v>-67</v>
      </c>
      <c r="BE68" s="52">
        <f t="shared" si="143"/>
        <v>-11</v>
      </c>
      <c r="BF68" s="52">
        <f t="shared" si="144"/>
        <v>-21</v>
      </c>
      <c r="BG68" s="52">
        <f t="shared" si="145"/>
        <v>-627</v>
      </c>
      <c r="BH68" s="52">
        <f t="shared" si="146"/>
        <v>-1161</v>
      </c>
      <c r="BI68" s="52">
        <f t="shared" si="147"/>
        <v>690</v>
      </c>
      <c r="BJ68" s="52">
        <f t="shared" si="148"/>
        <v>-2009</v>
      </c>
      <c r="BK68" s="52">
        <f t="shared" si="149"/>
        <v>-4958</v>
      </c>
      <c r="BL68" s="52">
        <f t="shared" si="150"/>
        <v>570</v>
      </c>
      <c r="BM68" s="52">
        <f t="shared" si="151"/>
        <v>4339</v>
      </c>
      <c r="BN68" s="52">
        <f t="shared" si="152"/>
        <v>-4108</v>
      </c>
      <c r="BO68" s="52">
        <f t="shared" si="153"/>
        <v>334</v>
      </c>
      <c r="BP68" s="52">
        <f t="shared" si="154"/>
        <v>2181</v>
      </c>
      <c r="BQ68" s="52">
        <f t="shared" si="155"/>
        <v>-3027</v>
      </c>
      <c r="BR68" s="52">
        <f t="shared" si="156"/>
        <v>-835</v>
      </c>
      <c r="BS68" s="46"/>
      <c r="BT68" s="46"/>
      <c r="BU68" s="46"/>
      <c r="BV68" s="46"/>
      <c r="BW68" s="46"/>
      <c r="BX68" s="46"/>
      <c r="BZ68" s="46"/>
    </row>
    <row r="69" spans="2:78" ht="12" customHeight="1" x14ac:dyDescent="0.2">
      <c r="B69" s="230" t="s">
        <v>173</v>
      </c>
      <c r="C69" s="231"/>
      <c r="D69" s="68">
        <f t="shared" ref="D69:AD69" si="157">SUM(D50:D68)</f>
        <v>-14506</v>
      </c>
      <c r="E69" s="68">
        <f t="shared" si="157"/>
        <v>-22669</v>
      </c>
      <c r="F69" s="68">
        <f t="shared" si="157"/>
        <v>-34760</v>
      </c>
      <c r="G69" s="68">
        <f t="shared" si="157"/>
        <v>-45132</v>
      </c>
      <c r="H69" s="68">
        <f t="shared" si="157"/>
        <v>-13257</v>
      </c>
      <c r="I69" s="68">
        <f t="shared" si="157"/>
        <v>-20037</v>
      </c>
      <c r="J69" s="68">
        <f t="shared" si="157"/>
        <v>-29709</v>
      </c>
      <c r="K69" s="68">
        <f t="shared" si="157"/>
        <v>-52001</v>
      </c>
      <c r="L69" s="68">
        <f t="shared" si="157"/>
        <v>-7631</v>
      </c>
      <c r="M69" s="68">
        <f t="shared" si="157"/>
        <v>-19992</v>
      </c>
      <c r="N69" s="68">
        <f t="shared" si="157"/>
        <v>-38206</v>
      </c>
      <c r="O69" s="68">
        <f t="shared" si="157"/>
        <v>-59901</v>
      </c>
      <c r="P69" s="68">
        <f t="shared" si="157"/>
        <v>84</v>
      </c>
      <c r="Q69" s="68">
        <f t="shared" si="157"/>
        <v>-10641</v>
      </c>
      <c r="R69" s="68">
        <f t="shared" si="157"/>
        <v>-35192</v>
      </c>
      <c r="S69" s="68">
        <f t="shared" si="157"/>
        <v>-66469</v>
      </c>
      <c r="T69" s="68">
        <f t="shared" si="157"/>
        <v>-34631</v>
      </c>
      <c r="U69" s="68">
        <f t="shared" si="157"/>
        <v>-27535</v>
      </c>
      <c r="V69" s="68">
        <f t="shared" si="157"/>
        <v>-39145</v>
      </c>
      <c r="W69" s="68">
        <f t="shared" si="157"/>
        <v>-47066</v>
      </c>
      <c r="X69" s="68">
        <f t="shared" si="157"/>
        <v>-9772</v>
      </c>
      <c r="Y69" s="68">
        <f t="shared" si="157"/>
        <v>-17764</v>
      </c>
      <c r="Z69" s="68">
        <f t="shared" si="157"/>
        <v>-16934</v>
      </c>
      <c r="AA69" s="68">
        <f t="shared" si="157"/>
        <v>-25225</v>
      </c>
      <c r="AB69" s="68">
        <f t="shared" si="157"/>
        <v>-11433</v>
      </c>
      <c r="AC69" s="68">
        <f t="shared" si="157"/>
        <v>-27242</v>
      </c>
      <c r="AD69" s="68">
        <f t="shared" si="157"/>
        <v>-39331</v>
      </c>
      <c r="AE69" s="68">
        <f t="shared" ref="AE69:AI69" si="158">SUM(AE50:AE68)</f>
        <v>-58668</v>
      </c>
      <c r="AF69" s="68">
        <f t="shared" si="158"/>
        <v>-16750</v>
      </c>
      <c r="AG69" s="68">
        <f t="shared" si="158"/>
        <v>-36996</v>
      </c>
      <c r="AH69" s="68">
        <f t="shared" si="158"/>
        <v>-64054</v>
      </c>
      <c r="AI69" s="68">
        <f t="shared" si="158"/>
        <v>-72051</v>
      </c>
      <c r="AJ69" s="68">
        <f t="shared" ref="AJ69" si="159">SUM(AJ50:AJ68)</f>
        <v>-20670</v>
      </c>
      <c r="AL69" s="68">
        <f t="shared" ref="AL69:BG69" si="160">SUM(AL50:AL68)</f>
        <v>-14506</v>
      </c>
      <c r="AM69" s="68">
        <f t="shared" si="160"/>
        <v>-8163</v>
      </c>
      <c r="AN69" s="68">
        <f t="shared" si="160"/>
        <v>-12091</v>
      </c>
      <c r="AO69" s="68">
        <f t="shared" si="160"/>
        <v>-10372</v>
      </c>
      <c r="AP69" s="68">
        <f t="shared" si="160"/>
        <v>-13257</v>
      </c>
      <c r="AQ69" s="68">
        <f t="shared" si="160"/>
        <v>-6780</v>
      </c>
      <c r="AR69" s="68">
        <f t="shared" si="160"/>
        <v>-9672</v>
      </c>
      <c r="AS69" s="68">
        <f t="shared" si="160"/>
        <v>-22292</v>
      </c>
      <c r="AT69" s="68">
        <f t="shared" si="160"/>
        <v>-7631</v>
      </c>
      <c r="AU69" s="68">
        <f t="shared" si="160"/>
        <v>-12361</v>
      </c>
      <c r="AV69" s="68">
        <f t="shared" si="160"/>
        <v>-18214</v>
      </c>
      <c r="AW69" s="68">
        <f t="shared" si="160"/>
        <v>-21695</v>
      </c>
      <c r="AX69" s="68">
        <f t="shared" si="160"/>
        <v>84</v>
      </c>
      <c r="AY69" s="68">
        <f t="shared" si="160"/>
        <v>-10725</v>
      </c>
      <c r="AZ69" s="68">
        <f t="shared" si="160"/>
        <v>-24551</v>
      </c>
      <c r="BA69" s="68">
        <f t="shared" si="160"/>
        <v>-31277</v>
      </c>
      <c r="BB69" s="68">
        <f t="shared" si="160"/>
        <v>-34631</v>
      </c>
      <c r="BC69" s="68">
        <f t="shared" si="160"/>
        <v>7096</v>
      </c>
      <c r="BD69" s="68">
        <f t="shared" si="160"/>
        <v>-11610</v>
      </c>
      <c r="BE69" s="68">
        <f t="shared" si="160"/>
        <v>-7921</v>
      </c>
      <c r="BF69" s="68">
        <f t="shared" si="160"/>
        <v>-9772</v>
      </c>
      <c r="BG69" s="68">
        <f t="shared" si="160"/>
        <v>-7992</v>
      </c>
      <c r="BH69" s="68">
        <f t="shared" ref="BH69:BK69" si="161">SUM(BH50:BH68)</f>
        <v>830</v>
      </c>
      <c r="BI69" s="68">
        <f t="shared" si="161"/>
        <v>-8291</v>
      </c>
      <c r="BJ69" s="68">
        <f t="shared" si="161"/>
        <v>-11433</v>
      </c>
      <c r="BK69" s="68">
        <f t="shared" si="161"/>
        <v>-15809</v>
      </c>
      <c r="BL69" s="68">
        <f t="shared" ref="BL69:BO69" si="162">SUM(BL50:BL68)</f>
        <v>-12089</v>
      </c>
      <c r="BM69" s="68">
        <f t="shared" si="162"/>
        <v>-18291</v>
      </c>
      <c r="BN69" s="68">
        <f t="shared" si="162"/>
        <v>-16750</v>
      </c>
      <c r="BO69" s="68">
        <f t="shared" si="162"/>
        <v>-20246</v>
      </c>
      <c r="BP69" s="68">
        <f t="shared" ref="BP69:BR69" si="163">SUM(BP50:BP68)</f>
        <v>-27058</v>
      </c>
      <c r="BQ69" s="68">
        <f t="shared" si="163"/>
        <v>-7997</v>
      </c>
      <c r="BR69" s="68">
        <f t="shared" si="163"/>
        <v>-20670</v>
      </c>
      <c r="BY69" s="47"/>
    </row>
    <row r="70" spans="2:78" s="47" customFormat="1" ht="12" customHeight="1" x14ac:dyDescent="0.2">
      <c r="B70" s="64" t="s">
        <v>174</v>
      </c>
      <c r="C70" s="65"/>
      <c r="D70" s="65"/>
      <c r="E70" s="65"/>
      <c r="F70" s="65"/>
      <c r="G70" s="65"/>
      <c r="H70" s="65"/>
      <c r="I70" s="66"/>
      <c r="J70" s="66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L70" s="65"/>
      <c r="AM70" s="65"/>
      <c r="AN70" s="65"/>
      <c r="AO70" s="65"/>
      <c r="AP70" s="65"/>
      <c r="AQ70" s="66"/>
      <c r="AR70" s="66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65"/>
      <c r="BR70" s="65"/>
      <c r="BS70" s="46"/>
      <c r="BT70" s="46"/>
      <c r="BU70" s="46"/>
      <c r="BV70" s="46"/>
      <c r="BW70" s="46"/>
      <c r="BX70" s="46"/>
      <c r="BZ70" s="46"/>
    </row>
    <row r="71" spans="2:78" s="47" customFormat="1" ht="12" customHeight="1" x14ac:dyDescent="0.2">
      <c r="B71" s="51"/>
      <c r="C71" s="67" t="s">
        <v>175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/>
      <c r="AE71" s="52">
        <v>0</v>
      </c>
      <c r="AF71" s="52">
        <v>0</v>
      </c>
      <c r="AG71" s="52">
        <v>212</v>
      </c>
      <c r="AH71" s="52">
        <v>213</v>
      </c>
      <c r="AI71" s="52">
        <v>211</v>
      </c>
      <c r="AJ71" s="52"/>
      <c r="AL71" s="52">
        <v>0</v>
      </c>
      <c r="AM71" s="52">
        <f t="shared" ref="AM71:AM81" si="164">E71-D71</f>
        <v>0</v>
      </c>
      <c r="AN71" s="52">
        <f t="shared" ref="AN71:AN81" si="165">F71-E71</f>
        <v>0</v>
      </c>
      <c r="AO71" s="52">
        <f t="shared" ref="AO71:AO81" si="166">G71-F71</f>
        <v>0</v>
      </c>
      <c r="AP71" s="52">
        <v>0</v>
      </c>
      <c r="AQ71" s="52">
        <f t="shared" ref="AQ71:AQ81" si="167">I71-H71</f>
        <v>0</v>
      </c>
      <c r="AR71" s="52">
        <f t="shared" ref="AR71:AR81" si="168">J71-I71</f>
        <v>0</v>
      </c>
      <c r="AS71" s="52">
        <f t="shared" ref="AS71:AS81" si="169">K71-J71</f>
        <v>0</v>
      </c>
      <c r="AT71" s="52">
        <v>0</v>
      </c>
      <c r="AU71" s="52">
        <f t="shared" ref="AU71:AU81" si="170">M71-L71</f>
        <v>0</v>
      </c>
      <c r="AV71" s="52">
        <f t="shared" ref="AV71:AV81" si="171">N71-M71</f>
        <v>0</v>
      </c>
      <c r="AW71" s="52">
        <f t="shared" ref="AW71:AW81" si="172">O71-N71</f>
        <v>0</v>
      </c>
      <c r="AX71" s="52">
        <v>0</v>
      </c>
      <c r="AY71" s="52">
        <f t="shared" ref="AY71:AY81" si="173">Q71-P71</f>
        <v>0</v>
      </c>
      <c r="AZ71" s="52">
        <f t="shared" ref="AZ71:AZ81" si="174">R71-Q71</f>
        <v>0</v>
      </c>
      <c r="BA71" s="52">
        <f t="shared" ref="BA71:BA81" si="175">S71-R71</f>
        <v>0</v>
      </c>
      <c r="BB71" s="52">
        <f t="shared" ref="BB71:BB81" si="176">T71</f>
        <v>0</v>
      </c>
      <c r="BC71" s="52">
        <f t="shared" ref="BC71:BC81" si="177">U71-T71</f>
        <v>0</v>
      </c>
      <c r="BD71" s="52">
        <f t="shared" ref="BD71:BD81" si="178">V71-U71</f>
        <v>0</v>
      </c>
      <c r="BE71" s="52">
        <f t="shared" ref="BE71:BE81" si="179">W71-V71</f>
        <v>0</v>
      </c>
      <c r="BF71" s="52">
        <f t="shared" ref="BF71:BF81" si="180">X71</f>
        <v>0</v>
      </c>
      <c r="BG71" s="52">
        <f t="shared" ref="BG71:BG81" si="181">Y71-X71</f>
        <v>0</v>
      </c>
      <c r="BH71" s="52">
        <f t="shared" ref="BH71:BH81" si="182">Z71-Y71</f>
        <v>0</v>
      </c>
      <c r="BI71" s="52">
        <f t="shared" ref="BI71:BI81" si="183">AA71-Z71</f>
        <v>0</v>
      </c>
      <c r="BJ71" s="52">
        <f t="shared" ref="BJ71:BJ81" si="184">AB71</f>
        <v>0</v>
      </c>
      <c r="BK71" s="52">
        <f t="shared" ref="BK71:BK81" si="185">AC71-AB71</f>
        <v>0</v>
      </c>
      <c r="BL71" s="52">
        <f t="shared" ref="BL71:BL81" si="186">AD71-AC71</f>
        <v>0</v>
      </c>
      <c r="BM71" s="52">
        <f t="shared" ref="BM71:BM81" si="187">AE71-AD71</f>
        <v>0</v>
      </c>
      <c r="BN71" s="52">
        <f t="shared" ref="BN71:BN81" si="188">AF71</f>
        <v>0</v>
      </c>
      <c r="BO71" s="52">
        <f t="shared" ref="BO71:BO81" si="189">AG71-AF71</f>
        <v>212</v>
      </c>
      <c r="BP71" s="52">
        <f t="shared" ref="BP71:BP81" si="190">AH71-AG71</f>
        <v>1</v>
      </c>
      <c r="BQ71" s="52">
        <f t="shared" ref="BQ71:BQ81" si="191">AI71-AH71</f>
        <v>-2</v>
      </c>
      <c r="BR71" s="52">
        <f t="shared" ref="BR71:BR81" si="192">AJ71</f>
        <v>0</v>
      </c>
      <c r="BT71" s="46"/>
      <c r="BU71" s="46"/>
      <c r="BV71" s="46"/>
      <c r="BW71" s="46"/>
      <c r="BX71" s="46"/>
      <c r="BZ71" s="46"/>
    </row>
    <row r="72" spans="2:78" s="47" customFormat="1" ht="12" customHeight="1" x14ac:dyDescent="0.2">
      <c r="B72" s="51"/>
      <c r="C72" s="67" t="s">
        <v>176</v>
      </c>
      <c r="D72" s="52">
        <v>0</v>
      </c>
      <c r="E72" s="52">
        <v>-271</v>
      </c>
      <c r="F72" s="52">
        <v>-3089</v>
      </c>
      <c r="G72" s="52">
        <v>-4749</v>
      </c>
      <c r="H72" s="52">
        <v>-1299</v>
      </c>
      <c r="I72" s="52">
        <v>-1520</v>
      </c>
      <c r="J72" s="52">
        <v>-2250</v>
      </c>
      <c r="K72" s="52">
        <v>-2550</v>
      </c>
      <c r="L72" s="52">
        <v>-180</v>
      </c>
      <c r="M72" s="52">
        <v>-180</v>
      </c>
      <c r="N72" s="52">
        <v>-259</v>
      </c>
      <c r="O72" s="52">
        <v>-479</v>
      </c>
      <c r="P72" s="52">
        <v>-239</v>
      </c>
      <c r="Q72" s="52">
        <v>-361</v>
      </c>
      <c r="R72" s="52">
        <v>-361</v>
      </c>
      <c r="S72" s="52">
        <v>-810</v>
      </c>
      <c r="T72" s="52">
        <v>-1183</v>
      </c>
      <c r="U72" s="52">
        <v>-1950</v>
      </c>
      <c r="V72" s="52">
        <v>-1951</v>
      </c>
      <c r="W72" s="52">
        <v>-1950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/>
      <c r="AE72" s="52">
        <v>0</v>
      </c>
      <c r="AF72" s="52">
        <v>0</v>
      </c>
      <c r="AG72" s="52">
        <v>0</v>
      </c>
      <c r="AH72" s="52">
        <v>-378</v>
      </c>
      <c r="AI72" s="52">
        <v>-761</v>
      </c>
      <c r="AJ72" s="52">
        <v>-211</v>
      </c>
      <c r="AL72" s="52">
        <v>0</v>
      </c>
      <c r="AM72" s="52">
        <f t="shared" si="164"/>
        <v>-271</v>
      </c>
      <c r="AN72" s="52">
        <f t="shared" si="165"/>
        <v>-2818</v>
      </c>
      <c r="AO72" s="52">
        <f t="shared" si="166"/>
        <v>-1660</v>
      </c>
      <c r="AP72" s="52">
        <v>-1299</v>
      </c>
      <c r="AQ72" s="52">
        <f t="shared" si="167"/>
        <v>-221</v>
      </c>
      <c r="AR72" s="52">
        <f t="shared" si="168"/>
        <v>-730</v>
      </c>
      <c r="AS72" s="52">
        <f t="shared" si="169"/>
        <v>-300</v>
      </c>
      <c r="AT72" s="52">
        <v>-180</v>
      </c>
      <c r="AU72" s="52">
        <f t="shared" si="170"/>
        <v>0</v>
      </c>
      <c r="AV72" s="52">
        <f t="shared" si="171"/>
        <v>-79</v>
      </c>
      <c r="AW72" s="52">
        <f t="shared" si="172"/>
        <v>-220</v>
      </c>
      <c r="AX72" s="52">
        <v>-239</v>
      </c>
      <c r="AY72" s="52">
        <f t="shared" si="173"/>
        <v>-122</v>
      </c>
      <c r="AZ72" s="52">
        <f t="shared" si="174"/>
        <v>0</v>
      </c>
      <c r="BA72" s="52">
        <f t="shared" si="175"/>
        <v>-449</v>
      </c>
      <c r="BB72" s="52">
        <f t="shared" si="176"/>
        <v>-1183</v>
      </c>
      <c r="BC72" s="52">
        <f t="shared" si="177"/>
        <v>-767</v>
      </c>
      <c r="BD72" s="52">
        <f t="shared" si="178"/>
        <v>-1</v>
      </c>
      <c r="BE72" s="52">
        <f t="shared" si="179"/>
        <v>1</v>
      </c>
      <c r="BF72" s="52">
        <f t="shared" si="180"/>
        <v>0</v>
      </c>
      <c r="BG72" s="52">
        <f t="shared" si="181"/>
        <v>0</v>
      </c>
      <c r="BH72" s="52">
        <f t="shared" si="182"/>
        <v>0</v>
      </c>
      <c r="BI72" s="52">
        <f t="shared" si="183"/>
        <v>0</v>
      </c>
      <c r="BJ72" s="52">
        <f t="shared" si="184"/>
        <v>0</v>
      </c>
      <c r="BK72" s="52">
        <f t="shared" si="185"/>
        <v>0</v>
      </c>
      <c r="BL72" s="52">
        <f t="shared" si="186"/>
        <v>0</v>
      </c>
      <c r="BM72" s="52">
        <f t="shared" si="187"/>
        <v>0</v>
      </c>
      <c r="BN72" s="52">
        <f t="shared" si="188"/>
        <v>0</v>
      </c>
      <c r="BO72" s="52">
        <f t="shared" si="189"/>
        <v>0</v>
      </c>
      <c r="BP72" s="52">
        <f t="shared" si="190"/>
        <v>-378</v>
      </c>
      <c r="BQ72" s="52">
        <f t="shared" si="191"/>
        <v>-383</v>
      </c>
      <c r="BR72" s="52">
        <f t="shared" si="192"/>
        <v>-211</v>
      </c>
      <c r="BS72" s="46"/>
      <c r="BT72" s="46"/>
      <c r="BU72" s="46"/>
      <c r="BV72" s="46"/>
      <c r="BW72" s="46"/>
      <c r="BX72" s="46"/>
      <c r="BZ72" s="46"/>
    </row>
    <row r="73" spans="2:78" ht="12" customHeight="1" x14ac:dyDescent="0.2">
      <c r="B73" s="51"/>
      <c r="C73" s="67" t="s">
        <v>177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/>
      <c r="AE73" s="52">
        <v>0</v>
      </c>
      <c r="AF73" s="52">
        <v>0</v>
      </c>
      <c r="AG73" s="52">
        <v>0</v>
      </c>
      <c r="AH73" s="52"/>
      <c r="AI73" s="52"/>
      <c r="AJ73" s="52"/>
      <c r="AL73" s="52">
        <v>0</v>
      </c>
      <c r="AM73" s="52">
        <f t="shared" si="164"/>
        <v>0</v>
      </c>
      <c r="AN73" s="52">
        <f t="shared" si="165"/>
        <v>0</v>
      </c>
      <c r="AO73" s="52">
        <f t="shared" si="166"/>
        <v>0</v>
      </c>
      <c r="AP73" s="52">
        <v>0</v>
      </c>
      <c r="AQ73" s="52">
        <f t="shared" si="167"/>
        <v>0</v>
      </c>
      <c r="AR73" s="52">
        <f t="shared" si="168"/>
        <v>0</v>
      </c>
      <c r="AS73" s="52">
        <f t="shared" si="169"/>
        <v>0</v>
      </c>
      <c r="AT73" s="52">
        <v>0</v>
      </c>
      <c r="AU73" s="52">
        <f t="shared" si="170"/>
        <v>0</v>
      </c>
      <c r="AV73" s="52">
        <f t="shared" si="171"/>
        <v>0</v>
      </c>
      <c r="AW73" s="52">
        <f t="shared" si="172"/>
        <v>0</v>
      </c>
      <c r="AX73" s="52">
        <v>0</v>
      </c>
      <c r="AY73" s="52">
        <f t="shared" si="173"/>
        <v>0</v>
      </c>
      <c r="AZ73" s="52">
        <f t="shared" si="174"/>
        <v>0</v>
      </c>
      <c r="BA73" s="52">
        <f t="shared" si="175"/>
        <v>0</v>
      </c>
      <c r="BB73" s="52">
        <f t="shared" si="176"/>
        <v>0</v>
      </c>
      <c r="BC73" s="52">
        <f t="shared" si="177"/>
        <v>0</v>
      </c>
      <c r="BD73" s="52">
        <f t="shared" si="178"/>
        <v>0</v>
      </c>
      <c r="BE73" s="52">
        <f t="shared" si="179"/>
        <v>0</v>
      </c>
      <c r="BF73" s="52">
        <f t="shared" si="180"/>
        <v>0</v>
      </c>
      <c r="BG73" s="52">
        <f t="shared" si="181"/>
        <v>0</v>
      </c>
      <c r="BH73" s="52">
        <f t="shared" si="182"/>
        <v>0</v>
      </c>
      <c r="BI73" s="52">
        <f t="shared" si="183"/>
        <v>0</v>
      </c>
      <c r="BJ73" s="52">
        <f t="shared" si="184"/>
        <v>0</v>
      </c>
      <c r="BK73" s="52">
        <f t="shared" si="185"/>
        <v>0</v>
      </c>
      <c r="BL73" s="52">
        <f t="shared" si="186"/>
        <v>0</v>
      </c>
      <c r="BM73" s="52">
        <f t="shared" si="187"/>
        <v>0</v>
      </c>
      <c r="BN73" s="52">
        <f t="shared" si="188"/>
        <v>0</v>
      </c>
      <c r="BO73" s="52">
        <f t="shared" si="189"/>
        <v>0</v>
      </c>
      <c r="BP73" s="52">
        <f t="shared" si="190"/>
        <v>0</v>
      </c>
      <c r="BQ73" s="52">
        <f t="shared" si="191"/>
        <v>0</v>
      </c>
      <c r="BR73" s="52">
        <f t="shared" si="192"/>
        <v>0</v>
      </c>
      <c r="BU73" s="47"/>
      <c r="BY73" s="47"/>
    </row>
    <row r="74" spans="2:78" ht="12" customHeight="1" x14ac:dyDescent="0.2">
      <c r="B74" s="51"/>
      <c r="C74" s="67" t="s">
        <v>178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/>
      <c r="AE74" s="52">
        <v>0</v>
      </c>
      <c r="AF74" s="52">
        <v>0</v>
      </c>
      <c r="AG74" s="52">
        <v>0</v>
      </c>
      <c r="AH74" s="52"/>
      <c r="AI74" s="52"/>
      <c r="AJ74" s="52"/>
      <c r="AL74" s="52">
        <v>0</v>
      </c>
      <c r="AM74" s="52">
        <f t="shared" si="164"/>
        <v>0</v>
      </c>
      <c r="AN74" s="52">
        <f t="shared" si="165"/>
        <v>0</v>
      </c>
      <c r="AO74" s="52">
        <f t="shared" si="166"/>
        <v>0</v>
      </c>
      <c r="AP74" s="52">
        <v>0</v>
      </c>
      <c r="AQ74" s="52">
        <f t="shared" si="167"/>
        <v>0</v>
      </c>
      <c r="AR74" s="52">
        <f t="shared" si="168"/>
        <v>0</v>
      </c>
      <c r="AS74" s="52">
        <f t="shared" si="169"/>
        <v>0</v>
      </c>
      <c r="AT74" s="52">
        <v>0</v>
      </c>
      <c r="AU74" s="52">
        <f t="shared" si="170"/>
        <v>0</v>
      </c>
      <c r="AV74" s="52">
        <f t="shared" si="171"/>
        <v>0</v>
      </c>
      <c r="AW74" s="52">
        <f t="shared" si="172"/>
        <v>0</v>
      </c>
      <c r="AX74" s="52">
        <v>0</v>
      </c>
      <c r="AY74" s="52">
        <f t="shared" si="173"/>
        <v>0</v>
      </c>
      <c r="AZ74" s="52">
        <f t="shared" si="174"/>
        <v>0</v>
      </c>
      <c r="BA74" s="52">
        <f t="shared" si="175"/>
        <v>0</v>
      </c>
      <c r="BB74" s="52">
        <f t="shared" si="176"/>
        <v>0</v>
      </c>
      <c r="BC74" s="52">
        <f t="shared" si="177"/>
        <v>0</v>
      </c>
      <c r="BD74" s="52">
        <f t="shared" si="178"/>
        <v>0</v>
      </c>
      <c r="BE74" s="52">
        <f t="shared" si="179"/>
        <v>0</v>
      </c>
      <c r="BF74" s="52">
        <f t="shared" si="180"/>
        <v>0</v>
      </c>
      <c r="BG74" s="52">
        <f t="shared" si="181"/>
        <v>0</v>
      </c>
      <c r="BH74" s="52">
        <f t="shared" si="182"/>
        <v>0</v>
      </c>
      <c r="BI74" s="52">
        <f t="shared" si="183"/>
        <v>0</v>
      </c>
      <c r="BJ74" s="52">
        <f t="shared" si="184"/>
        <v>0</v>
      </c>
      <c r="BK74" s="52">
        <f t="shared" si="185"/>
        <v>0</v>
      </c>
      <c r="BL74" s="52">
        <f t="shared" si="186"/>
        <v>0</v>
      </c>
      <c r="BM74" s="52">
        <f t="shared" si="187"/>
        <v>0</v>
      </c>
      <c r="BN74" s="52">
        <f t="shared" si="188"/>
        <v>0</v>
      </c>
      <c r="BO74" s="52">
        <f t="shared" si="189"/>
        <v>0</v>
      </c>
      <c r="BP74" s="52">
        <f t="shared" si="190"/>
        <v>0</v>
      </c>
      <c r="BQ74" s="52">
        <f t="shared" si="191"/>
        <v>0</v>
      </c>
      <c r="BR74" s="52">
        <f t="shared" si="192"/>
        <v>0</v>
      </c>
      <c r="BY74" s="47"/>
    </row>
    <row r="75" spans="2:78" ht="12" customHeight="1" x14ac:dyDescent="0.2">
      <c r="B75" s="51"/>
      <c r="C75" s="67" t="s">
        <v>179</v>
      </c>
      <c r="D75" s="52">
        <v>0</v>
      </c>
      <c r="E75" s="52">
        <v>23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/>
      <c r="AE75" s="52">
        <v>0</v>
      </c>
      <c r="AF75" s="52">
        <v>0</v>
      </c>
      <c r="AG75" s="52">
        <v>0</v>
      </c>
      <c r="AH75" s="52"/>
      <c r="AI75" s="52"/>
      <c r="AJ75" s="52"/>
      <c r="AL75" s="52">
        <v>0</v>
      </c>
      <c r="AM75" s="52">
        <f t="shared" si="164"/>
        <v>23</v>
      </c>
      <c r="AN75" s="52">
        <f t="shared" si="165"/>
        <v>-23</v>
      </c>
      <c r="AO75" s="52">
        <f t="shared" si="166"/>
        <v>0</v>
      </c>
      <c r="AP75" s="52">
        <v>0</v>
      </c>
      <c r="AQ75" s="52">
        <f t="shared" si="167"/>
        <v>0</v>
      </c>
      <c r="AR75" s="52">
        <f t="shared" si="168"/>
        <v>0</v>
      </c>
      <c r="AS75" s="52">
        <f t="shared" si="169"/>
        <v>0</v>
      </c>
      <c r="AT75" s="52">
        <v>0</v>
      </c>
      <c r="AU75" s="52">
        <f t="shared" si="170"/>
        <v>0</v>
      </c>
      <c r="AV75" s="52">
        <f t="shared" si="171"/>
        <v>0</v>
      </c>
      <c r="AW75" s="52">
        <f t="shared" si="172"/>
        <v>0</v>
      </c>
      <c r="AX75" s="52">
        <v>0</v>
      </c>
      <c r="AY75" s="52">
        <f t="shared" si="173"/>
        <v>0</v>
      </c>
      <c r="AZ75" s="52">
        <f t="shared" si="174"/>
        <v>0</v>
      </c>
      <c r="BA75" s="52">
        <f t="shared" si="175"/>
        <v>0</v>
      </c>
      <c r="BB75" s="52">
        <f t="shared" si="176"/>
        <v>0</v>
      </c>
      <c r="BC75" s="52">
        <f t="shared" si="177"/>
        <v>0</v>
      </c>
      <c r="BD75" s="52">
        <f t="shared" si="178"/>
        <v>0</v>
      </c>
      <c r="BE75" s="52">
        <f t="shared" si="179"/>
        <v>0</v>
      </c>
      <c r="BF75" s="52">
        <f t="shared" si="180"/>
        <v>0</v>
      </c>
      <c r="BG75" s="52">
        <f t="shared" si="181"/>
        <v>0</v>
      </c>
      <c r="BH75" s="52">
        <f t="shared" si="182"/>
        <v>0</v>
      </c>
      <c r="BI75" s="52">
        <f t="shared" si="183"/>
        <v>0</v>
      </c>
      <c r="BJ75" s="52">
        <f t="shared" si="184"/>
        <v>0</v>
      </c>
      <c r="BK75" s="52">
        <f t="shared" si="185"/>
        <v>0</v>
      </c>
      <c r="BL75" s="52">
        <f t="shared" si="186"/>
        <v>0</v>
      </c>
      <c r="BM75" s="52">
        <f t="shared" si="187"/>
        <v>0</v>
      </c>
      <c r="BN75" s="52">
        <f t="shared" si="188"/>
        <v>0</v>
      </c>
      <c r="BO75" s="52">
        <f t="shared" si="189"/>
        <v>0</v>
      </c>
      <c r="BP75" s="52">
        <f t="shared" si="190"/>
        <v>0</v>
      </c>
      <c r="BQ75" s="52">
        <f t="shared" si="191"/>
        <v>0</v>
      </c>
      <c r="BR75" s="52">
        <f t="shared" si="192"/>
        <v>0</v>
      </c>
      <c r="BV75" s="47"/>
      <c r="BY75" s="47"/>
    </row>
    <row r="76" spans="2:78" ht="12" customHeight="1" x14ac:dyDescent="0.2">
      <c r="B76" s="51"/>
      <c r="C76" s="67" t="s">
        <v>180</v>
      </c>
      <c r="D76" s="52"/>
      <c r="E76" s="52">
        <v>23169</v>
      </c>
      <c r="F76" s="52">
        <v>26452</v>
      </c>
      <c r="G76" s="52">
        <v>33154</v>
      </c>
      <c r="H76" s="52">
        <v>9883</v>
      </c>
      <c r="I76" s="52">
        <v>14100</v>
      </c>
      <c r="J76" s="52">
        <v>16345</v>
      </c>
      <c r="K76" s="52">
        <v>20233</v>
      </c>
      <c r="L76" s="52">
        <v>4912</v>
      </c>
      <c r="M76" s="52">
        <v>6797</v>
      </c>
      <c r="N76" s="52">
        <v>26724</v>
      </c>
      <c r="O76" s="52">
        <v>24293</v>
      </c>
      <c r="P76" s="52">
        <v>41366</v>
      </c>
      <c r="Q76" s="52">
        <v>54937</v>
      </c>
      <c r="R76" s="52">
        <v>113023</v>
      </c>
      <c r="S76" s="52">
        <v>130422</v>
      </c>
      <c r="T76" s="52">
        <v>41889</v>
      </c>
      <c r="U76" s="52">
        <v>80197</v>
      </c>
      <c r="V76" s="52">
        <v>87639</v>
      </c>
      <c r="W76" s="52">
        <v>90033</v>
      </c>
      <c r="X76" s="52">
        <v>9306</v>
      </c>
      <c r="Y76" s="52">
        <v>15363</v>
      </c>
      <c r="Z76" s="52">
        <v>45627</v>
      </c>
      <c r="AA76" s="52">
        <v>24706</v>
      </c>
      <c r="AB76" s="52">
        <v>5658</v>
      </c>
      <c r="AC76" s="52">
        <v>13578</v>
      </c>
      <c r="AD76" s="52">
        <v>23357</v>
      </c>
      <c r="AE76" s="52">
        <v>31396</v>
      </c>
      <c r="AF76" s="52">
        <v>6163</v>
      </c>
      <c r="AG76" s="52">
        <v>23060</v>
      </c>
      <c r="AH76" s="52">
        <v>34189</v>
      </c>
      <c r="AI76" s="52">
        <v>20506</v>
      </c>
      <c r="AJ76" s="52">
        <v>6263</v>
      </c>
      <c r="AL76" s="52"/>
      <c r="AM76" s="52">
        <f t="shared" si="164"/>
        <v>23169</v>
      </c>
      <c r="AN76" s="52">
        <f t="shared" si="165"/>
        <v>3283</v>
      </c>
      <c r="AO76" s="52">
        <f t="shared" si="166"/>
        <v>6702</v>
      </c>
      <c r="AP76" s="52">
        <v>9883</v>
      </c>
      <c r="AQ76" s="52">
        <f t="shared" si="167"/>
        <v>4217</v>
      </c>
      <c r="AR76" s="52">
        <f t="shared" si="168"/>
        <v>2245</v>
      </c>
      <c r="AS76" s="52">
        <f t="shared" si="169"/>
        <v>3888</v>
      </c>
      <c r="AT76" s="52">
        <v>4912</v>
      </c>
      <c r="AU76" s="52">
        <f t="shared" si="170"/>
        <v>1885</v>
      </c>
      <c r="AV76" s="52">
        <f t="shared" si="171"/>
        <v>19927</v>
      </c>
      <c r="AW76" s="52">
        <f t="shared" si="172"/>
        <v>-2431</v>
      </c>
      <c r="AX76" s="52">
        <v>41366</v>
      </c>
      <c r="AY76" s="52">
        <f t="shared" si="173"/>
        <v>13571</v>
      </c>
      <c r="AZ76" s="52">
        <f t="shared" si="174"/>
        <v>58086</v>
      </c>
      <c r="BA76" s="52">
        <f t="shared" si="175"/>
        <v>17399</v>
      </c>
      <c r="BB76" s="52">
        <f t="shared" si="176"/>
        <v>41889</v>
      </c>
      <c r="BC76" s="52">
        <f t="shared" si="177"/>
        <v>38308</v>
      </c>
      <c r="BD76" s="52">
        <f t="shared" si="178"/>
        <v>7442</v>
      </c>
      <c r="BE76" s="52">
        <f t="shared" si="179"/>
        <v>2394</v>
      </c>
      <c r="BF76" s="52">
        <f t="shared" si="180"/>
        <v>9306</v>
      </c>
      <c r="BG76" s="52">
        <f t="shared" si="181"/>
        <v>6057</v>
      </c>
      <c r="BH76" s="52">
        <f t="shared" si="182"/>
        <v>30264</v>
      </c>
      <c r="BI76" s="52">
        <f t="shared" si="183"/>
        <v>-20921</v>
      </c>
      <c r="BJ76" s="52">
        <f t="shared" si="184"/>
        <v>5658</v>
      </c>
      <c r="BK76" s="52">
        <f t="shared" si="185"/>
        <v>7920</v>
      </c>
      <c r="BL76" s="52">
        <f t="shared" si="186"/>
        <v>9779</v>
      </c>
      <c r="BM76" s="52">
        <f t="shared" si="187"/>
        <v>8039</v>
      </c>
      <c r="BN76" s="52">
        <f t="shared" si="188"/>
        <v>6163</v>
      </c>
      <c r="BO76" s="52">
        <f t="shared" si="189"/>
        <v>16897</v>
      </c>
      <c r="BP76" s="52">
        <f t="shared" si="190"/>
        <v>11129</v>
      </c>
      <c r="BQ76" s="52">
        <f t="shared" si="191"/>
        <v>-13683</v>
      </c>
      <c r="BR76" s="52">
        <f t="shared" si="192"/>
        <v>6263</v>
      </c>
      <c r="BY76" s="47"/>
    </row>
    <row r="77" spans="2:78" ht="12" customHeight="1" x14ac:dyDescent="0.2">
      <c r="B77" s="51"/>
      <c r="C77" s="67" t="s">
        <v>181</v>
      </c>
      <c r="D77" s="52">
        <v>-11131</v>
      </c>
      <c r="E77" s="52">
        <v>-21340</v>
      </c>
      <c r="F77" s="52">
        <v>-29259</v>
      </c>
      <c r="G77" s="52">
        <v>-38061</v>
      </c>
      <c r="H77" s="52">
        <v>-2975</v>
      </c>
      <c r="I77" s="52">
        <v>-11427</v>
      </c>
      <c r="J77" s="52">
        <v>-25301</v>
      </c>
      <c r="K77" s="52">
        <v>-28878</v>
      </c>
      <c r="L77" s="52">
        <v>-19378</v>
      </c>
      <c r="M77" s="52">
        <v>-17743</v>
      </c>
      <c r="N77" s="52">
        <v>-28413</v>
      </c>
      <c r="O77" s="52">
        <v>-50373</v>
      </c>
      <c r="P77" s="52">
        <v>-31757</v>
      </c>
      <c r="Q77" s="52">
        <v>-34308</v>
      </c>
      <c r="R77" s="52">
        <v>-41679</v>
      </c>
      <c r="S77" s="52">
        <v>-49589</v>
      </c>
      <c r="T77" s="52">
        <v>-3107</v>
      </c>
      <c r="U77" s="52">
        <v>-24492</v>
      </c>
      <c r="V77" s="52">
        <v>-26024</v>
      </c>
      <c r="W77" s="52">
        <v>-60488</v>
      </c>
      <c r="X77" s="52">
        <v>-17009</v>
      </c>
      <c r="Y77" s="52">
        <v>-13172</v>
      </c>
      <c r="Z77" s="52">
        <v>-30533</v>
      </c>
      <c r="AA77" s="52">
        <v>-71482</v>
      </c>
      <c r="AB77" s="52">
        <v>-19379</v>
      </c>
      <c r="AC77" s="52">
        <v>-63985</v>
      </c>
      <c r="AD77" s="52">
        <v>-67237</v>
      </c>
      <c r="AE77" s="52">
        <v>-88845</v>
      </c>
      <c r="AF77" s="52">
        <v>-19507</v>
      </c>
      <c r="AG77" s="52">
        <v>-23231</v>
      </c>
      <c r="AH77" s="52">
        <v>-23593</v>
      </c>
      <c r="AI77" s="52">
        <v>-36714</v>
      </c>
      <c r="AJ77" s="52">
        <v>-8744</v>
      </c>
      <c r="AL77" s="52">
        <v>-11131</v>
      </c>
      <c r="AM77" s="52">
        <f t="shared" si="164"/>
        <v>-10209</v>
      </c>
      <c r="AN77" s="52">
        <f t="shared" si="165"/>
        <v>-7919</v>
      </c>
      <c r="AO77" s="52">
        <f t="shared" si="166"/>
        <v>-8802</v>
      </c>
      <c r="AP77" s="52">
        <v>-2975</v>
      </c>
      <c r="AQ77" s="52">
        <f t="shared" si="167"/>
        <v>-8452</v>
      </c>
      <c r="AR77" s="52">
        <f t="shared" si="168"/>
        <v>-13874</v>
      </c>
      <c r="AS77" s="52">
        <f t="shared" si="169"/>
        <v>-3577</v>
      </c>
      <c r="AT77" s="52">
        <v>-19378</v>
      </c>
      <c r="AU77" s="52">
        <f t="shared" si="170"/>
        <v>1635</v>
      </c>
      <c r="AV77" s="52">
        <f t="shared" si="171"/>
        <v>-10670</v>
      </c>
      <c r="AW77" s="52">
        <f t="shared" si="172"/>
        <v>-21960</v>
      </c>
      <c r="AX77" s="52">
        <v>-31757</v>
      </c>
      <c r="AY77" s="52">
        <f t="shared" si="173"/>
        <v>-2551</v>
      </c>
      <c r="AZ77" s="52">
        <f t="shared" si="174"/>
        <v>-7371</v>
      </c>
      <c r="BA77" s="52">
        <f t="shared" si="175"/>
        <v>-7910</v>
      </c>
      <c r="BB77" s="52">
        <f t="shared" si="176"/>
        <v>-3107</v>
      </c>
      <c r="BC77" s="52">
        <f t="shared" si="177"/>
        <v>-21385</v>
      </c>
      <c r="BD77" s="52">
        <f t="shared" si="178"/>
        <v>-1532</v>
      </c>
      <c r="BE77" s="52">
        <f t="shared" si="179"/>
        <v>-34464</v>
      </c>
      <c r="BF77" s="52">
        <f t="shared" si="180"/>
        <v>-17009</v>
      </c>
      <c r="BG77" s="52">
        <f t="shared" si="181"/>
        <v>3837</v>
      </c>
      <c r="BH77" s="52">
        <f t="shared" si="182"/>
        <v>-17361</v>
      </c>
      <c r="BI77" s="52">
        <f t="shared" si="183"/>
        <v>-40949</v>
      </c>
      <c r="BJ77" s="52">
        <f t="shared" si="184"/>
        <v>-19379</v>
      </c>
      <c r="BK77" s="52">
        <f t="shared" si="185"/>
        <v>-44606</v>
      </c>
      <c r="BL77" s="52">
        <f t="shared" si="186"/>
        <v>-3252</v>
      </c>
      <c r="BM77" s="52">
        <f t="shared" si="187"/>
        <v>-21608</v>
      </c>
      <c r="BN77" s="52">
        <f t="shared" si="188"/>
        <v>-19507</v>
      </c>
      <c r="BO77" s="52">
        <f t="shared" si="189"/>
        <v>-3724</v>
      </c>
      <c r="BP77" s="52">
        <f t="shared" si="190"/>
        <v>-362</v>
      </c>
      <c r="BQ77" s="52">
        <f t="shared" si="191"/>
        <v>-13121</v>
      </c>
      <c r="BR77" s="52">
        <f t="shared" si="192"/>
        <v>-8744</v>
      </c>
      <c r="BT77" s="47"/>
      <c r="BY77" s="47"/>
    </row>
    <row r="78" spans="2:78" ht="12" customHeight="1" x14ac:dyDescent="0.2">
      <c r="B78" s="51"/>
      <c r="C78" s="67" t="s">
        <v>182</v>
      </c>
      <c r="D78" s="52">
        <v>-832</v>
      </c>
      <c r="E78" s="52">
        <v>-1773</v>
      </c>
      <c r="F78" s="52">
        <v>-2875</v>
      </c>
      <c r="G78" s="52">
        <v>-4024</v>
      </c>
      <c r="H78" s="52">
        <v>-945</v>
      </c>
      <c r="I78" s="52">
        <v>-1902</v>
      </c>
      <c r="J78" s="52">
        <v>-2985</v>
      </c>
      <c r="K78" s="52">
        <v>-3936</v>
      </c>
      <c r="L78" s="52">
        <v>-883</v>
      </c>
      <c r="M78" s="52">
        <v>-1045</v>
      </c>
      <c r="N78" s="52">
        <v>-1420</v>
      </c>
      <c r="O78" s="52">
        <v>-1750</v>
      </c>
      <c r="P78" s="52">
        <v>-295</v>
      </c>
      <c r="Q78" s="52">
        <v>-669</v>
      </c>
      <c r="R78" s="52">
        <v>-1105</v>
      </c>
      <c r="S78" s="52">
        <v>-1983</v>
      </c>
      <c r="T78" s="52">
        <v>-1806</v>
      </c>
      <c r="U78" s="52">
        <v>-5167</v>
      </c>
      <c r="V78" s="52">
        <v>-9091</v>
      </c>
      <c r="W78" s="52">
        <v>-13877</v>
      </c>
      <c r="X78" s="52">
        <v>-3438</v>
      </c>
      <c r="Y78" s="52">
        <v>-6763</v>
      </c>
      <c r="Z78" s="52">
        <v>-11023</v>
      </c>
      <c r="AA78" s="52">
        <v>-14168</v>
      </c>
      <c r="AB78" s="52">
        <v>-2401</v>
      </c>
      <c r="AC78" s="52">
        <v>-4263</v>
      </c>
      <c r="AD78" s="52">
        <v>-6215</v>
      </c>
      <c r="AE78" s="52">
        <v>-8157</v>
      </c>
      <c r="AF78" s="52">
        <v>-1225</v>
      </c>
      <c r="AG78" s="52">
        <v>-2721</v>
      </c>
      <c r="AH78" s="52">
        <v>-4148</v>
      </c>
      <c r="AI78" s="52">
        <v>-5169</v>
      </c>
      <c r="AJ78" s="52">
        <v>-878</v>
      </c>
      <c r="AL78" s="52">
        <v>-832</v>
      </c>
      <c r="AM78" s="52">
        <f t="shared" si="164"/>
        <v>-941</v>
      </c>
      <c r="AN78" s="52">
        <f t="shared" si="165"/>
        <v>-1102</v>
      </c>
      <c r="AO78" s="52">
        <f t="shared" si="166"/>
        <v>-1149</v>
      </c>
      <c r="AP78" s="52">
        <v>-945</v>
      </c>
      <c r="AQ78" s="52">
        <f t="shared" si="167"/>
        <v>-957</v>
      </c>
      <c r="AR78" s="52">
        <f t="shared" si="168"/>
        <v>-1083</v>
      </c>
      <c r="AS78" s="52">
        <f t="shared" si="169"/>
        <v>-951</v>
      </c>
      <c r="AT78" s="52">
        <v>-883</v>
      </c>
      <c r="AU78" s="52">
        <f t="shared" si="170"/>
        <v>-162</v>
      </c>
      <c r="AV78" s="52">
        <f t="shared" si="171"/>
        <v>-375</v>
      </c>
      <c r="AW78" s="52">
        <f t="shared" si="172"/>
        <v>-330</v>
      </c>
      <c r="AX78" s="52">
        <v>-295</v>
      </c>
      <c r="AY78" s="52">
        <f t="shared" si="173"/>
        <v>-374</v>
      </c>
      <c r="AZ78" s="52">
        <f t="shared" si="174"/>
        <v>-436</v>
      </c>
      <c r="BA78" s="52">
        <f t="shared" si="175"/>
        <v>-878</v>
      </c>
      <c r="BB78" s="52">
        <f t="shared" si="176"/>
        <v>-1806</v>
      </c>
      <c r="BC78" s="52">
        <f t="shared" si="177"/>
        <v>-3361</v>
      </c>
      <c r="BD78" s="52">
        <f t="shared" si="178"/>
        <v>-3924</v>
      </c>
      <c r="BE78" s="52">
        <f t="shared" si="179"/>
        <v>-4786</v>
      </c>
      <c r="BF78" s="52">
        <f t="shared" si="180"/>
        <v>-3438</v>
      </c>
      <c r="BG78" s="52">
        <f t="shared" si="181"/>
        <v>-3325</v>
      </c>
      <c r="BH78" s="52">
        <f t="shared" si="182"/>
        <v>-4260</v>
      </c>
      <c r="BI78" s="52">
        <f t="shared" si="183"/>
        <v>-3145</v>
      </c>
      <c r="BJ78" s="52">
        <f t="shared" si="184"/>
        <v>-2401</v>
      </c>
      <c r="BK78" s="52">
        <f t="shared" si="185"/>
        <v>-1862</v>
      </c>
      <c r="BL78" s="52">
        <f t="shared" si="186"/>
        <v>-1952</v>
      </c>
      <c r="BM78" s="52">
        <f t="shared" si="187"/>
        <v>-1942</v>
      </c>
      <c r="BN78" s="52">
        <f t="shared" si="188"/>
        <v>-1225</v>
      </c>
      <c r="BO78" s="52">
        <f t="shared" si="189"/>
        <v>-1496</v>
      </c>
      <c r="BP78" s="52">
        <f t="shared" si="190"/>
        <v>-1427</v>
      </c>
      <c r="BQ78" s="52">
        <f t="shared" si="191"/>
        <v>-1021</v>
      </c>
      <c r="BR78" s="52">
        <f t="shared" si="192"/>
        <v>-878</v>
      </c>
    </row>
    <row r="79" spans="2:78" ht="12" customHeight="1" x14ac:dyDescent="0.2">
      <c r="B79" s="51"/>
      <c r="C79" s="67" t="s">
        <v>183</v>
      </c>
      <c r="D79" s="52">
        <v>-169</v>
      </c>
      <c r="E79" s="52">
        <v>-25257</v>
      </c>
      <c r="F79" s="52">
        <v>-25277</v>
      </c>
      <c r="G79" s="52">
        <v>-37010</v>
      </c>
      <c r="H79" s="52">
        <v>0</v>
      </c>
      <c r="I79" s="52">
        <v>-26335</v>
      </c>
      <c r="J79" s="52">
        <v>-26802</v>
      </c>
      <c r="K79" s="52">
        <v>-39950</v>
      </c>
      <c r="L79" s="52">
        <v>0</v>
      </c>
      <c r="M79" s="52">
        <v>-464</v>
      </c>
      <c r="N79" s="52">
        <v>-19448</v>
      </c>
      <c r="O79" s="52">
        <v>-33048</v>
      </c>
      <c r="P79" s="52">
        <v>0</v>
      </c>
      <c r="Q79" s="52">
        <v>0</v>
      </c>
      <c r="R79" s="52">
        <v>-22347</v>
      </c>
      <c r="S79" s="52">
        <v>-22347</v>
      </c>
      <c r="T79" s="52">
        <v>-8743</v>
      </c>
      <c r="U79" s="52">
        <v>-8743</v>
      </c>
      <c r="V79" s="52">
        <v>-14671</v>
      </c>
      <c r="W79" s="52">
        <v>-14730</v>
      </c>
      <c r="X79" s="52">
        <v>0</v>
      </c>
      <c r="Y79" s="52">
        <v>0</v>
      </c>
      <c r="Z79" s="52">
        <v>-8803</v>
      </c>
      <c r="AA79" s="52">
        <v>-14612</v>
      </c>
      <c r="AB79" s="52">
        <v>0</v>
      </c>
      <c r="AC79" s="52">
        <v>0</v>
      </c>
      <c r="AD79" s="52">
        <v>-8715</v>
      </c>
      <c r="AE79" s="52">
        <v>-17428</v>
      </c>
      <c r="AF79" s="52"/>
      <c r="AG79" s="52">
        <v>0</v>
      </c>
      <c r="AH79" s="52">
        <v>-17220</v>
      </c>
      <c r="AI79" s="52">
        <v>-17502</v>
      </c>
      <c r="AJ79" s="52"/>
      <c r="AL79" s="52">
        <v>-169</v>
      </c>
      <c r="AM79" s="52">
        <f t="shared" si="164"/>
        <v>-25088</v>
      </c>
      <c r="AN79" s="52">
        <f t="shared" si="165"/>
        <v>-20</v>
      </c>
      <c r="AO79" s="52">
        <f t="shared" si="166"/>
        <v>-11733</v>
      </c>
      <c r="AP79" s="52">
        <v>0</v>
      </c>
      <c r="AQ79" s="52">
        <f t="shared" si="167"/>
        <v>-26335</v>
      </c>
      <c r="AR79" s="52">
        <f t="shared" si="168"/>
        <v>-467</v>
      </c>
      <c r="AS79" s="52">
        <f t="shared" si="169"/>
        <v>-13148</v>
      </c>
      <c r="AT79" s="52">
        <v>0</v>
      </c>
      <c r="AU79" s="52">
        <f t="shared" si="170"/>
        <v>-464</v>
      </c>
      <c r="AV79" s="52">
        <f t="shared" si="171"/>
        <v>-18984</v>
      </c>
      <c r="AW79" s="52">
        <f t="shared" si="172"/>
        <v>-13600</v>
      </c>
      <c r="AX79" s="52">
        <v>0</v>
      </c>
      <c r="AY79" s="52">
        <f t="shared" si="173"/>
        <v>0</v>
      </c>
      <c r="AZ79" s="52">
        <f t="shared" si="174"/>
        <v>-22347</v>
      </c>
      <c r="BA79" s="52">
        <f t="shared" si="175"/>
        <v>0</v>
      </c>
      <c r="BB79" s="52">
        <f t="shared" si="176"/>
        <v>-8743</v>
      </c>
      <c r="BC79" s="52">
        <f t="shared" si="177"/>
        <v>0</v>
      </c>
      <c r="BD79" s="52">
        <f t="shared" si="178"/>
        <v>-5928</v>
      </c>
      <c r="BE79" s="52">
        <f t="shared" si="179"/>
        <v>-59</v>
      </c>
      <c r="BF79" s="52">
        <f t="shared" si="180"/>
        <v>0</v>
      </c>
      <c r="BG79" s="52">
        <f t="shared" si="181"/>
        <v>0</v>
      </c>
      <c r="BH79" s="52">
        <f t="shared" si="182"/>
        <v>-8803</v>
      </c>
      <c r="BI79" s="52">
        <f t="shared" si="183"/>
        <v>-5809</v>
      </c>
      <c r="BJ79" s="52">
        <f t="shared" si="184"/>
        <v>0</v>
      </c>
      <c r="BK79" s="52">
        <f t="shared" si="185"/>
        <v>0</v>
      </c>
      <c r="BL79" s="52">
        <f t="shared" si="186"/>
        <v>-8715</v>
      </c>
      <c r="BM79" s="52">
        <f t="shared" si="187"/>
        <v>-8713</v>
      </c>
      <c r="BN79" s="52">
        <f t="shared" si="188"/>
        <v>0</v>
      </c>
      <c r="BO79" s="52">
        <f t="shared" si="189"/>
        <v>0</v>
      </c>
      <c r="BP79" s="52">
        <f t="shared" si="190"/>
        <v>-17220</v>
      </c>
      <c r="BQ79" s="52">
        <f t="shared" si="191"/>
        <v>-282</v>
      </c>
      <c r="BR79" s="52">
        <f t="shared" si="192"/>
        <v>0</v>
      </c>
      <c r="BY79" s="47"/>
    </row>
    <row r="80" spans="2:78" ht="12" customHeight="1" x14ac:dyDescent="0.2">
      <c r="B80" s="51"/>
      <c r="C80" s="67" t="s">
        <v>184</v>
      </c>
      <c r="D80" s="52">
        <v>-1335</v>
      </c>
      <c r="E80" s="52">
        <v>-2577</v>
      </c>
      <c r="F80" s="52">
        <v>-3974</v>
      </c>
      <c r="G80" s="52">
        <v>-5863</v>
      </c>
      <c r="H80" s="52">
        <v>-1536</v>
      </c>
      <c r="I80" s="52">
        <v>-4415</v>
      </c>
      <c r="J80" s="52">
        <v>-5139</v>
      </c>
      <c r="K80" s="52">
        <v>-8706</v>
      </c>
      <c r="L80" s="52">
        <v>-1813</v>
      </c>
      <c r="M80" s="52">
        <v>-5201</v>
      </c>
      <c r="N80" s="52">
        <v>-5814</v>
      </c>
      <c r="O80" s="52">
        <v>-8215</v>
      </c>
      <c r="P80" s="52">
        <v>-2905</v>
      </c>
      <c r="Q80" s="52">
        <v>-7966</v>
      </c>
      <c r="R80" s="52">
        <v>-8786</v>
      </c>
      <c r="S80" s="52">
        <v>-12630</v>
      </c>
      <c r="T80" s="52">
        <v>-3358</v>
      </c>
      <c r="U80" s="52">
        <v>-6263</v>
      </c>
      <c r="V80" s="52">
        <v>-8658</v>
      </c>
      <c r="W80" s="52">
        <v>-10912</v>
      </c>
      <c r="X80" s="52">
        <v>-2929</v>
      </c>
      <c r="Y80" s="52">
        <v>-6007</v>
      </c>
      <c r="Z80" s="52">
        <v>-8257</v>
      </c>
      <c r="AA80" s="52">
        <v>-11582</v>
      </c>
      <c r="AB80" s="52">
        <v>-2871</v>
      </c>
      <c r="AC80" s="52">
        <v>-5341</v>
      </c>
      <c r="AD80" s="52">
        <v>-9754</v>
      </c>
      <c r="AE80" s="52">
        <v>-13257</v>
      </c>
      <c r="AF80" s="52">
        <v>-3642</v>
      </c>
      <c r="AG80" s="52">
        <v>-6646</v>
      </c>
      <c r="AH80" s="52">
        <v>-8033</v>
      </c>
      <c r="AI80" s="52">
        <v>-13072</v>
      </c>
      <c r="AJ80" s="52">
        <v>-2864</v>
      </c>
      <c r="AL80" s="52">
        <v>-1335</v>
      </c>
      <c r="AM80" s="52">
        <f t="shared" si="164"/>
        <v>-1242</v>
      </c>
      <c r="AN80" s="52">
        <f t="shared" si="165"/>
        <v>-1397</v>
      </c>
      <c r="AO80" s="52">
        <f t="shared" si="166"/>
        <v>-1889</v>
      </c>
      <c r="AP80" s="52">
        <v>-1536</v>
      </c>
      <c r="AQ80" s="52">
        <f t="shared" si="167"/>
        <v>-2879</v>
      </c>
      <c r="AR80" s="52">
        <f t="shared" si="168"/>
        <v>-724</v>
      </c>
      <c r="AS80" s="52">
        <f t="shared" si="169"/>
        <v>-3567</v>
      </c>
      <c r="AT80" s="52">
        <v>-1813</v>
      </c>
      <c r="AU80" s="52">
        <f t="shared" si="170"/>
        <v>-3388</v>
      </c>
      <c r="AV80" s="52">
        <f t="shared" si="171"/>
        <v>-613</v>
      </c>
      <c r="AW80" s="52">
        <f t="shared" si="172"/>
        <v>-2401</v>
      </c>
      <c r="AX80" s="52">
        <v>-2905</v>
      </c>
      <c r="AY80" s="52">
        <f t="shared" si="173"/>
        <v>-5061</v>
      </c>
      <c r="AZ80" s="52">
        <f t="shared" si="174"/>
        <v>-820</v>
      </c>
      <c r="BA80" s="52">
        <f t="shared" si="175"/>
        <v>-3844</v>
      </c>
      <c r="BB80" s="52">
        <f t="shared" si="176"/>
        <v>-3358</v>
      </c>
      <c r="BC80" s="52">
        <f t="shared" si="177"/>
        <v>-2905</v>
      </c>
      <c r="BD80" s="52">
        <f t="shared" si="178"/>
        <v>-2395</v>
      </c>
      <c r="BE80" s="52">
        <f t="shared" si="179"/>
        <v>-2254</v>
      </c>
      <c r="BF80" s="52">
        <f t="shared" si="180"/>
        <v>-2929</v>
      </c>
      <c r="BG80" s="52">
        <f t="shared" si="181"/>
        <v>-3078</v>
      </c>
      <c r="BH80" s="52">
        <f t="shared" si="182"/>
        <v>-2250</v>
      </c>
      <c r="BI80" s="52">
        <f t="shared" si="183"/>
        <v>-3325</v>
      </c>
      <c r="BJ80" s="52">
        <f t="shared" si="184"/>
        <v>-2871</v>
      </c>
      <c r="BK80" s="52">
        <f t="shared" si="185"/>
        <v>-2470</v>
      </c>
      <c r="BL80" s="52">
        <f t="shared" si="186"/>
        <v>-4413</v>
      </c>
      <c r="BM80" s="52">
        <f t="shared" si="187"/>
        <v>-3503</v>
      </c>
      <c r="BN80" s="52">
        <f t="shared" si="188"/>
        <v>-3642</v>
      </c>
      <c r="BO80" s="52">
        <f t="shared" si="189"/>
        <v>-3004</v>
      </c>
      <c r="BP80" s="52">
        <f t="shared" si="190"/>
        <v>-1387</v>
      </c>
      <c r="BQ80" s="52">
        <f t="shared" si="191"/>
        <v>-5039</v>
      </c>
      <c r="BR80" s="52">
        <f t="shared" si="192"/>
        <v>-2864</v>
      </c>
      <c r="BY80" s="47"/>
    </row>
    <row r="81" spans="2:77" ht="12" customHeight="1" x14ac:dyDescent="0.2">
      <c r="B81" s="51"/>
      <c r="C81" s="67" t="s">
        <v>172</v>
      </c>
      <c r="D81" s="52">
        <v>-42</v>
      </c>
      <c r="E81" s="52">
        <v>-135</v>
      </c>
      <c r="F81" s="52">
        <v>-297</v>
      </c>
      <c r="G81" s="52">
        <v>-369</v>
      </c>
      <c r="H81" s="52">
        <v>-131</v>
      </c>
      <c r="I81" s="52">
        <v>-513</v>
      </c>
      <c r="J81" s="52">
        <v>-444</v>
      </c>
      <c r="K81" s="52">
        <v>-524</v>
      </c>
      <c r="L81" s="52">
        <v>-165</v>
      </c>
      <c r="M81" s="52">
        <v>-503</v>
      </c>
      <c r="N81" s="52">
        <v>-613</v>
      </c>
      <c r="O81" s="52">
        <v>-619</v>
      </c>
      <c r="P81" s="52">
        <v>-215</v>
      </c>
      <c r="Q81" s="52">
        <v>-308</v>
      </c>
      <c r="R81" s="52">
        <v>-425</v>
      </c>
      <c r="S81" s="52">
        <v>-577</v>
      </c>
      <c r="T81" s="52">
        <v>-295</v>
      </c>
      <c r="U81" s="52">
        <v>-669</v>
      </c>
      <c r="V81" s="52">
        <v>-823</v>
      </c>
      <c r="W81" s="52">
        <v>-1015</v>
      </c>
      <c r="X81" s="52">
        <v>-280</v>
      </c>
      <c r="Y81" s="52">
        <v>-832</v>
      </c>
      <c r="Z81" s="52">
        <v>-1182</v>
      </c>
      <c r="AA81" s="52">
        <v>-1613</v>
      </c>
      <c r="AB81" s="52">
        <v>-407</v>
      </c>
      <c r="AC81" s="52">
        <v>-766</v>
      </c>
      <c r="AD81" s="52">
        <v>-1119</v>
      </c>
      <c r="AE81" s="52">
        <v>-1457</v>
      </c>
      <c r="AF81" s="52">
        <v>-524</v>
      </c>
      <c r="AG81" s="52">
        <v>-1000</v>
      </c>
      <c r="AH81" s="52">
        <v>-1338</v>
      </c>
      <c r="AI81" s="52">
        <v>-1701</v>
      </c>
      <c r="AJ81" s="52">
        <v>-523</v>
      </c>
      <c r="AL81" s="52">
        <v>-42</v>
      </c>
      <c r="AM81" s="52">
        <f t="shared" si="164"/>
        <v>-93</v>
      </c>
      <c r="AN81" s="52">
        <f t="shared" si="165"/>
        <v>-162</v>
      </c>
      <c r="AO81" s="52">
        <f t="shared" si="166"/>
        <v>-72</v>
      </c>
      <c r="AP81" s="52">
        <v>-131</v>
      </c>
      <c r="AQ81" s="52">
        <f t="shared" si="167"/>
        <v>-382</v>
      </c>
      <c r="AR81" s="52">
        <f t="shared" si="168"/>
        <v>69</v>
      </c>
      <c r="AS81" s="52">
        <f t="shared" si="169"/>
        <v>-80</v>
      </c>
      <c r="AT81" s="52">
        <v>-165</v>
      </c>
      <c r="AU81" s="52">
        <f t="shared" si="170"/>
        <v>-338</v>
      </c>
      <c r="AV81" s="52">
        <f t="shared" si="171"/>
        <v>-110</v>
      </c>
      <c r="AW81" s="52">
        <f t="shared" si="172"/>
        <v>-6</v>
      </c>
      <c r="AX81" s="52">
        <v>-215</v>
      </c>
      <c r="AY81" s="52">
        <f t="shared" si="173"/>
        <v>-93</v>
      </c>
      <c r="AZ81" s="52">
        <f t="shared" si="174"/>
        <v>-117</v>
      </c>
      <c r="BA81" s="52">
        <f t="shared" si="175"/>
        <v>-152</v>
      </c>
      <c r="BB81" s="52">
        <f t="shared" si="176"/>
        <v>-295</v>
      </c>
      <c r="BC81" s="52">
        <f t="shared" si="177"/>
        <v>-374</v>
      </c>
      <c r="BD81" s="52">
        <f t="shared" si="178"/>
        <v>-154</v>
      </c>
      <c r="BE81" s="52">
        <f t="shared" si="179"/>
        <v>-192</v>
      </c>
      <c r="BF81" s="52">
        <f t="shared" si="180"/>
        <v>-280</v>
      </c>
      <c r="BG81" s="52">
        <f t="shared" si="181"/>
        <v>-552</v>
      </c>
      <c r="BH81" s="52">
        <f t="shared" si="182"/>
        <v>-350</v>
      </c>
      <c r="BI81" s="52">
        <f t="shared" si="183"/>
        <v>-431</v>
      </c>
      <c r="BJ81" s="52">
        <f t="shared" si="184"/>
        <v>-407</v>
      </c>
      <c r="BK81" s="52">
        <f t="shared" si="185"/>
        <v>-359</v>
      </c>
      <c r="BL81" s="52">
        <f t="shared" si="186"/>
        <v>-353</v>
      </c>
      <c r="BM81" s="52">
        <f t="shared" si="187"/>
        <v>-338</v>
      </c>
      <c r="BN81" s="52">
        <f t="shared" si="188"/>
        <v>-524</v>
      </c>
      <c r="BO81" s="52">
        <f t="shared" si="189"/>
        <v>-476</v>
      </c>
      <c r="BP81" s="52">
        <f t="shared" si="190"/>
        <v>-338</v>
      </c>
      <c r="BQ81" s="52">
        <f t="shared" si="191"/>
        <v>-363</v>
      </c>
      <c r="BR81" s="52">
        <f t="shared" si="192"/>
        <v>-523</v>
      </c>
      <c r="BY81" s="47"/>
    </row>
    <row r="82" spans="2:77" ht="12" customHeight="1" x14ac:dyDescent="0.2">
      <c r="B82" s="230" t="s">
        <v>185</v>
      </c>
      <c r="C82" s="231"/>
      <c r="D82" s="68">
        <f t="shared" ref="D82:G82" si="193">SUM(D71:D81)</f>
        <v>-13509</v>
      </c>
      <c r="E82" s="68">
        <f t="shared" si="193"/>
        <v>-28161</v>
      </c>
      <c r="F82" s="68">
        <f t="shared" si="193"/>
        <v>-38319</v>
      </c>
      <c r="G82" s="68">
        <f t="shared" si="193"/>
        <v>-56922</v>
      </c>
      <c r="H82" s="68">
        <f t="shared" ref="H82:I82" si="194">SUM(H71:H81)</f>
        <v>2997</v>
      </c>
      <c r="I82" s="68">
        <f t="shared" si="194"/>
        <v>-32012</v>
      </c>
      <c r="J82" s="68">
        <f>SUM(J71:J81)</f>
        <v>-46576</v>
      </c>
      <c r="K82" s="68">
        <f t="shared" ref="K82:O82" si="195">SUM(K71:K81)</f>
        <v>-64311</v>
      </c>
      <c r="L82" s="68">
        <f t="shared" si="195"/>
        <v>-17507</v>
      </c>
      <c r="M82" s="68">
        <f t="shared" si="195"/>
        <v>-18339</v>
      </c>
      <c r="N82" s="68">
        <f t="shared" si="195"/>
        <v>-29243</v>
      </c>
      <c r="O82" s="68">
        <f t="shared" si="195"/>
        <v>-70191</v>
      </c>
      <c r="P82" s="68">
        <f t="shared" ref="P82:Q82" si="196">SUM(P71:P81)</f>
        <v>5955</v>
      </c>
      <c r="Q82" s="68">
        <f t="shared" si="196"/>
        <v>11325</v>
      </c>
      <c r="R82" s="68">
        <f t="shared" ref="R82:S82" si="197">SUM(R71:R81)</f>
        <v>38320</v>
      </c>
      <c r="S82" s="68">
        <f t="shared" si="197"/>
        <v>42486</v>
      </c>
      <c r="T82" s="68">
        <f t="shared" ref="T82:U82" si="198">SUM(T71:T81)</f>
        <v>23397</v>
      </c>
      <c r="U82" s="68">
        <f t="shared" si="198"/>
        <v>32913</v>
      </c>
      <c r="V82" s="68">
        <f t="shared" ref="V82:W82" si="199">SUM(V71:V81)</f>
        <v>26421</v>
      </c>
      <c r="W82" s="68">
        <f t="shared" si="199"/>
        <v>-12939</v>
      </c>
      <c r="X82" s="68">
        <f t="shared" ref="X82:Y82" si="200">SUM(X71:X81)</f>
        <v>-14350</v>
      </c>
      <c r="Y82" s="68">
        <f t="shared" si="200"/>
        <v>-11411</v>
      </c>
      <c r="Z82" s="68">
        <f t="shared" ref="Z82:AA82" si="201">SUM(Z71:Z81)</f>
        <v>-14171</v>
      </c>
      <c r="AA82" s="68">
        <f t="shared" si="201"/>
        <v>-88751</v>
      </c>
      <c r="AB82" s="68">
        <f t="shared" ref="AB82:AC82" si="202">SUM(AB71:AB81)</f>
        <v>-19400</v>
      </c>
      <c r="AC82" s="68">
        <f t="shared" si="202"/>
        <v>-60777</v>
      </c>
      <c r="AD82" s="68">
        <f t="shared" ref="AD82:AE82" si="203">SUM(AD71:AD81)</f>
        <v>-69683</v>
      </c>
      <c r="AE82" s="68">
        <f t="shared" si="203"/>
        <v>-97748</v>
      </c>
      <c r="AF82" s="68">
        <f t="shared" ref="AF82:AG82" si="204">SUM(AF71:AF81)</f>
        <v>-18735</v>
      </c>
      <c r="AG82" s="68">
        <f t="shared" si="204"/>
        <v>-10326</v>
      </c>
      <c r="AH82" s="68">
        <f t="shared" ref="AH82:AI82" si="205">SUM(AH71:AH81)</f>
        <v>-20308</v>
      </c>
      <c r="AI82" s="68">
        <f t="shared" si="205"/>
        <v>-54202</v>
      </c>
      <c r="AJ82" s="68">
        <v>-6957</v>
      </c>
      <c r="AL82" s="68">
        <f t="shared" ref="AL82:AQ82" si="206">SUM(AL71:AL81)</f>
        <v>-13509</v>
      </c>
      <c r="AM82" s="68">
        <f t="shared" si="206"/>
        <v>-14652</v>
      </c>
      <c r="AN82" s="68">
        <f t="shared" si="206"/>
        <v>-10158</v>
      </c>
      <c r="AO82" s="68">
        <f t="shared" si="206"/>
        <v>-18603</v>
      </c>
      <c r="AP82" s="68">
        <f t="shared" si="206"/>
        <v>2997</v>
      </c>
      <c r="AQ82" s="68">
        <f t="shared" si="206"/>
        <v>-35009</v>
      </c>
      <c r="AR82" s="68">
        <f>SUM(AR71:AR81)</f>
        <v>-14564</v>
      </c>
      <c r="AS82" s="68">
        <f t="shared" ref="AS82:AW82" si="207">SUM(AS71:AS81)</f>
        <v>-17735</v>
      </c>
      <c r="AT82" s="68">
        <f t="shared" si="207"/>
        <v>-17507</v>
      </c>
      <c r="AU82" s="68">
        <f t="shared" si="207"/>
        <v>-832</v>
      </c>
      <c r="AV82" s="68">
        <f t="shared" si="207"/>
        <v>-10904</v>
      </c>
      <c r="AW82" s="68">
        <f t="shared" si="207"/>
        <v>-40948</v>
      </c>
      <c r="AX82" s="68">
        <f t="shared" ref="AX82:AY82" si="208">SUM(AX71:AX81)</f>
        <v>5955</v>
      </c>
      <c r="AY82" s="68">
        <f t="shared" si="208"/>
        <v>5370</v>
      </c>
      <c r="AZ82" s="68">
        <f t="shared" ref="AZ82:BA82" si="209">SUM(AZ71:AZ81)</f>
        <v>26995</v>
      </c>
      <c r="BA82" s="68">
        <f t="shared" si="209"/>
        <v>4166</v>
      </c>
      <c r="BB82" s="68">
        <f t="shared" ref="BB82:BC82" si="210">SUM(BB71:BB81)</f>
        <v>23397</v>
      </c>
      <c r="BC82" s="68">
        <f t="shared" si="210"/>
        <v>9516</v>
      </c>
      <c r="BD82" s="68">
        <f t="shared" ref="BD82:BE82" si="211">SUM(BD71:BD81)</f>
        <v>-6492</v>
      </c>
      <c r="BE82" s="68">
        <f t="shared" si="211"/>
        <v>-39360</v>
      </c>
      <c r="BF82" s="68">
        <f t="shared" ref="BF82:BG82" si="212">SUM(BF71:BF81)</f>
        <v>-14350</v>
      </c>
      <c r="BG82" s="68">
        <f t="shared" si="212"/>
        <v>2939</v>
      </c>
      <c r="BH82" s="68">
        <f t="shared" ref="BH82:BK82" si="213">SUM(BH71:BH81)</f>
        <v>-2760</v>
      </c>
      <c r="BI82" s="68">
        <f t="shared" si="213"/>
        <v>-74580</v>
      </c>
      <c r="BJ82" s="68">
        <f t="shared" si="213"/>
        <v>-19400</v>
      </c>
      <c r="BK82" s="68">
        <f t="shared" si="213"/>
        <v>-41377</v>
      </c>
      <c r="BL82" s="68">
        <f t="shared" ref="BL82:BO82" si="214">SUM(BL71:BL81)</f>
        <v>-8906</v>
      </c>
      <c r="BM82" s="68">
        <f t="shared" si="214"/>
        <v>-28065</v>
      </c>
      <c r="BN82" s="68">
        <f t="shared" si="214"/>
        <v>-18735</v>
      </c>
      <c r="BO82" s="68">
        <f t="shared" si="214"/>
        <v>8409</v>
      </c>
      <c r="BP82" s="68">
        <f t="shared" ref="BP82:BR82" si="215">SUM(BP71:BP81)</f>
        <v>-9982</v>
      </c>
      <c r="BQ82" s="68">
        <f t="shared" si="215"/>
        <v>-33894</v>
      </c>
      <c r="BR82" s="68">
        <f t="shared" si="215"/>
        <v>-6957</v>
      </c>
    </row>
    <row r="83" spans="2:77" ht="12" customHeight="1" x14ac:dyDescent="0.2">
      <c r="B83" s="230" t="s">
        <v>186</v>
      </c>
      <c r="C83" s="231"/>
      <c r="D83" s="68">
        <f t="shared" ref="D83:W83" si="216">SUM(D48,D69,D82)</f>
        <v>3464</v>
      </c>
      <c r="E83" s="68">
        <f t="shared" si="216"/>
        <v>-10591</v>
      </c>
      <c r="F83" s="68">
        <f t="shared" si="216"/>
        <v>-12990</v>
      </c>
      <c r="G83" s="68">
        <f t="shared" si="216"/>
        <v>-12271</v>
      </c>
      <c r="H83" s="68">
        <f t="shared" si="216"/>
        <v>7456</v>
      </c>
      <c r="I83" s="68">
        <f t="shared" si="216"/>
        <v>-4434</v>
      </c>
      <c r="J83" s="68">
        <f t="shared" si="216"/>
        <v>-4695</v>
      </c>
      <c r="K83" s="68">
        <f t="shared" si="216"/>
        <v>4991</v>
      </c>
      <c r="L83" s="68">
        <f t="shared" si="216"/>
        <v>11215</v>
      </c>
      <c r="M83" s="68">
        <f t="shared" si="216"/>
        <v>5456</v>
      </c>
      <c r="N83" s="68">
        <f t="shared" si="216"/>
        <v>3500</v>
      </c>
      <c r="O83" s="68">
        <f t="shared" si="216"/>
        <v>-5071</v>
      </c>
      <c r="P83" s="68">
        <f t="shared" si="216"/>
        <v>10984</v>
      </c>
      <c r="Q83" s="68">
        <f t="shared" si="216"/>
        <v>5716</v>
      </c>
      <c r="R83" s="68">
        <f t="shared" si="216"/>
        <v>8208</v>
      </c>
      <c r="S83" s="68">
        <f t="shared" si="216"/>
        <v>7581</v>
      </c>
      <c r="T83" s="68">
        <f t="shared" si="216"/>
        <v>-6216</v>
      </c>
      <c r="U83" s="68">
        <f t="shared" si="216"/>
        <v>-20934</v>
      </c>
      <c r="V83" s="68">
        <f t="shared" si="216"/>
        <v>-17112</v>
      </c>
      <c r="W83" s="68">
        <f t="shared" si="216"/>
        <v>-7852</v>
      </c>
      <c r="X83" s="68">
        <f t="shared" ref="X83:Y83" si="217">SUM(X48,X69,X82)</f>
        <v>-2321</v>
      </c>
      <c r="Y83" s="68">
        <f t="shared" si="217"/>
        <v>-10364</v>
      </c>
      <c r="Z83" s="68">
        <f t="shared" ref="Z83:AA83" si="218">SUM(Z48,Z69,Z82)</f>
        <v>-7487</v>
      </c>
      <c r="AA83" s="68">
        <f t="shared" si="218"/>
        <v>-6041</v>
      </c>
      <c r="AB83" s="68">
        <f t="shared" ref="AB83:AC83" si="219">SUM(AB48,AB69,AB82)</f>
        <v>-3398</v>
      </c>
      <c r="AC83" s="68">
        <f t="shared" si="219"/>
        <v>-704</v>
      </c>
      <c r="AD83" s="68">
        <f t="shared" ref="AD83:AE83" si="220">SUM(AD48,AD69,AD82)</f>
        <v>-3504</v>
      </c>
      <c r="AE83" s="68">
        <f t="shared" si="220"/>
        <v>-5223</v>
      </c>
      <c r="AF83" s="68">
        <f t="shared" ref="AF83:AG83" si="221">SUM(AF48,AF69,AF82)</f>
        <v>6564</v>
      </c>
      <c r="AG83" s="68">
        <f t="shared" si="221"/>
        <v>16596</v>
      </c>
      <c r="AH83" s="68">
        <f t="shared" ref="AH83:AI83" si="222">SUM(AH48,AH69,AH82)</f>
        <v>4412</v>
      </c>
      <c r="AI83" s="68">
        <f t="shared" si="222"/>
        <v>2709</v>
      </c>
      <c r="AJ83" s="68">
        <f t="shared" ref="AJ83" si="223">SUM(AJ48,AJ69,AJ82)</f>
        <v>8068</v>
      </c>
      <c r="AL83" s="68">
        <f t="shared" ref="AL83:BE83" si="224">SUM(AL48,AL69,AL82)</f>
        <v>3464</v>
      </c>
      <c r="AM83" s="68">
        <f t="shared" si="224"/>
        <v>-14055</v>
      </c>
      <c r="AN83" s="68">
        <f t="shared" si="224"/>
        <v>-2399</v>
      </c>
      <c r="AO83" s="68">
        <f t="shared" si="224"/>
        <v>719</v>
      </c>
      <c r="AP83" s="68">
        <f t="shared" si="224"/>
        <v>7456</v>
      </c>
      <c r="AQ83" s="68">
        <f t="shared" si="224"/>
        <v>-11890</v>
      </c>
      <c r="AR83" s="68">
        <f t="shared" si="224"/>
        <v>-261</v>
      </c>
      <c r="AS83" s="68">
        <f t="shared" si="224"/>
        <v>9686</v>
      </c>
      <c r="AT83" s="68">
        <f t="shared" si="224"/>
        <v>11215</v>
      </c>
      <c r="AU83" s="68">
        <f t="shared" si="224"/>
        <v>-5759</v>
      </c>
      <c r="AV83" s="68">
        <f t="shared" si="224"/>
        <v>-1956</v>
      </c>
      <c r="AW83" s="68">
        <f t="shared" si="224"/>
        <v>-8571</v>
      </c>
      <c r="AX83" s="68">
        <f t="shared" si="224"/>
        <v>10984</v>
      </c>
      <c r="AY83" s="68">
        <f t="shared" si="224"/>
        <v>-5268</v>
      </c>
      <c r="AZ83" s="68">
        <f t="shared" si="224"/>
        <v>2492</v>
      </c>
      <c r="BA83" s="68">
        <f t="shared" si="224"/>
        <v>-627</v>
      </c>
      <c r="BB83" s="68">
        <f t="shared" si="224"/>
        <v>-6216</v>
      </c>
      <c r="BC83" s="68">
        <f t="shared" si="224"/>
        <v>-14718</v>
      </c>
      <c r="BD83" s="68">
        <f t="shared" si="224"/>
        <v>3822</v>
      </c>
      <c r="BE83" s="68">
        <f t="shared" si="224"/>
        <v>9260</v>
      </c>
      <c r="BF83" s="68">
        <f t="shared" ref="BF83:BG83" si="225">SUM(BF48,BF69,BF82)</f>
        <v>-2321</v>
      </c>
      <c r="BG83" s="68">
        <f t="shared" si="225"/>
        <v>-8043</v>
      </c>
      <c r="BH83" s="68">
        <f t="shared" ref="BH83:BK83" si="226">SUM(BH48,BH69,BH82)</f>
        <v>2877</v>
      </c>
      <c r="BI83" s="68">
        <f t="shared" si="226"/>
        <v>1446</v>
      </c>
      <c r="BJ83" s="68">
        <f t="shared" si="226"/>
        <v>-3398</v>
      </c>
      <c r="BK83" s="68">
        <f t="shared" si="226"/>
        <v>2694</v>
      </c>
      <c r="BL83" s="68">
        <f t="shared" ref="BL83:BO83" si="227">SUM(BL48,BL69,BL82)</f>
        <v>-2800</v>
      </c>
      <c r="BM83" s="68">
        <f t="shared" si="227"/>
        <v>-1719</v>
      </c>
      <c r="BN83" s="68">
        <f t="shared" si="227"/>
        <v>6564</v>
      </c>
      <c r="BO83" s="68">
        <f t="shared" si="227"/>
        <v>10032</v>
      </c>
      <c r="BP83" s="68">
        <f t="shared" ref="BP83:BR83" si="228">SUM(BP48,BP69,BP82)</f>
        <v>-12184</v>
      </c>
      <c r="BQ83" s="68">
        <f t="shared" si="228"/>
        <v>-1703</v>
      </c>
      <c r="BR83" s="68">
        <f t="shared" si="228"/>
        <v>8068</v>
      </c>
    </row>
    <row r="84" spans="2:77" ht="12" customHeight="1" x14ac:dyDescent="0.2">
      <c r="B84" s="69"/>
      <c r="C84" s="70" t="s">
        <v>187</v>
      </c>
      <c r="D84" s="71">
        <v>0</v>
      </c>
      <c r="E84" s="71">
        <v>0</v>
      </c>
      <c r="F84" s="71">
        <v>0</v>
      </c>
      <c r="G84" s="71">
        <v>0</v>
      </c>
      <c r="H84" s="71">
        <v>0</v>
      </c>
      <c r="I84" s="71">
        <v>0</v>
      </c>
      <c r="J84" s="71">
        <v>0</v>
      </c>
      <c r="K84" s="71">
        <v>0</v>
      </c>
      <c r="L84" s="71">
        <v>0</v>
      </c>
      <c r="M84" s="71">
        <v>0</v>
      </c>
      <c r="N84" s="71">
        <v>0</v>
      </c>
      <c r="O84" s="71">
        <v>0</v>
      </c>
      <c r="P84" s="71">
        <v>0</v>
      </c>
      <c r="Q84" s="71">
        <v>0</v>
      </c>
      <c r="R84" s="71">
        <v>0</v>
      </c>
      <c r="S84" s="71">
        <v>0</v>
      </c>
      <c r="T84" s="71">
        <v>0</v>
      </c>
      <c r="U84" s="71">
        <v>0</v>
      </c>
      <c r="V84" s="71">
        <v>0</v>
      </c>
      <c r="W84" s="71">
        <v>0</v>
      </c>
      <c r="X84" s="71">
        <v>0</v>
      </c>
      <c r="Y84" s="71">
        <v>0</v>
      </c>
      <c r="Z84" s="71">
        <v>0</v>
      </c>
      <c r="AA84" s="71">
        <v>0</v>
      </c>
      <c r="AB84" s="71">
        <v>0</v>
      </c>
      <c r="AC84" s="71">
        <v>0</v>
      </c>
      <c r="AD84" s="71">
        <v>0</v>
      </c>
      <c r="AE84" s="71">
        <v>0</v>
      </c>
      <c r="AF84" s="71">
        <v>0</v>
      </c>
      <c r="AG84" s="71"/>
      <c r="AH84" s="71"/>
      <c r="AI84" s="71"/>
      <c r="AJ84" s="71"/>
      <c r="AL84" s="71">
        <v>0</v>
      </c>
      <c r="AM84" s="71">
        <v>0</v>
      </c>
      <c r="AN84" s="71">
        <v>0</v>
      </c>
      <c r="AO84" s="71">
        <v>0</v>
      </c>
      <c r="AP84" s="71">
        <v>0</v>
      </c>
      <c r="AQ84" s="71">
        <v>0</v>
      </c>
      <c r="AR84" s="71">
        <v>0</v>
      </c>
      <c r="AS84" s="71">
        <v>0</v>
      </c>
      <c r="AT84" s="71">
        <v>0</v>
      </c>
      <c r="AU84" s="71">
        <v>0</v>
      </c>
      <c r="AV84" s="71">
        <v>0</v>
      </c>
      <c r="AW84" s="71">
        <v>0</v>
      </c>
      <c r="AX84" s="71">
        <v>0</v>
      </c>
      <c r="AY84" s="71">
        <v>0</v>
      </c>
      <c r="AZ84" s="71">
        <v>0</v>
      </c>
      <c r="BA84" s="71">
        <v>0</v>
      </c>
      <c r="BB84" s="71">
        <v>0</v>
      </c>
      <c r="BC84" s="71">
        <v>0</v>
      </c>
      <c r="BD84" s="71">
        <v>0</v>
      </c>
      <c r="BE84" s="71">
        <v>0</v>
      </c>
      <c r="BF84" s="71">
        <v>0</v>
      </c>
      <c r="BG84" s="71">
        <v>0</v>
      </c>
      <c r="BH84" s="71">
        <v>0</v>
      </c>
      <c r="BI84" s="71">
        <v>0</v>
      </c>
      <c r="BJ84" s="71">
        <v>0</v>
      </c>
      <c r="BK84" s="71">
        <v>0</v>
      </c>
      <c r="BL84" s="71">
        <v>0</v>
      </c>
      <c r="BM84" s="71">
        <v>0</v>
      </c>
      <c r="BN84" s="71">
        <v>0</v>
      </c>
      <c r="BO84" s="71">
        <v>0</v>
      </c>
      <c r="BP84" s="71">
        <v>0</v>
      </c>
      <c r="BQ84" s="71">
        <v>0</v>
      </c>
      <c r="BR84" s="71">
        <v>0</v>
      </c>
    </row>
    <row r="85" spans="2:77" ht="12" customHeight="1" x14ac:dyDescent="0.2">
      <c r="B85" s="236" t="s">
        <v>188</v>
      </c>
      <c r="C85" s="233"/>
      <c r="D85" s="49">
        <v>41602</v>
      </c>
      <c r="E85" s="49">
        <v>41602</v>
      </c>
      <c r="F85" s="49">
        <v>41602</v>
      </c>
      <c r="G85" s="49">
        <v>41602</v>
      </c>
      <c r="H85" s="49">
        <v>29331</v>
      </c>
      <c r="I85" s="49">
        <v>29331</v>
      </c>
      <c r="J85" s="49">
        <v>29331</v>
      </c>
      <c r="K85" s="49">
        <v>29331</v>
      </c>
      <c r="L85" s="49">
        <v>34322</v>
      </c>
      <c r="M85" s="49">
        <v>34322</v>
      </c>
      <c r="N85" s="49">
        <v>34322</v>
      </c>
      <c r="O85" s="49">
        <v>34322</v>
      </c>
      <c r="P85" s="49">
        <f>O87</f>
        <v>29251</v>
      </c>
      <c r="Q85" s="49">
        <f>O87</f>
        <v>29251</v>
      </c>
      <c r="R85" s="49">
        <f>O87</f>
        <v>29251</v>
      </c>
      <c r="S85" s="49">
        <f>O87</f>
        <v>29251</v>
      </c>
      <c r="T85" s="49">
        <f>S87</f>
        <v>36832</v>
      </c>
      <c r="U85" s="49">
        <f>S87</f>
        <v>36832</v>
      </c>
      <c r="V85" s="49">
        <v>36832</v>
      </c>
      <c r="W85" s="49">
        <v>36832</v>
      </c>
      <c r="X85" s="49">
        <v>28980</v>
      </c>
      <c r="Y85" s="49">
        <v>28980</v>
      </c>
      <c r="Z85" s="49">
        <v>28980</v>
      </c>
      <c r="AA85" s="49">
        <v>28980</v>
      </c>
      <c r="AB85" s="49">
        <v>22939</v>
      </c>
      <c r="AC85" s="49">
        <v>22939</v>
      </c>
      <c r="AD85" s="49">
        <v>22939</v>
      </c>
      <c r="AE85" s="49">
        <v>22939</v>
      </c>
      <c r="AF85" s="49">
        <f>AE87</f>
        <v>17716</v>
      </c>
      <c r="AG85" s="49">
        <f>AE87</f>
        <v>17716</v>
      </c>
      <c r="AH85" s="49">
        <f>AG85</f>
        <v>17716</v>
      </c>
      <c r="AI85" s="49">
        <f>AH85</f>
        <v>17716</v>
      </c>
      <c r="AJ85" s="49">
        <f>AI87</f>
        <v>20425</v>
      </c>
      <c r="AL85" s="52">
        <f>D85</f>
        <v>41602</v>
      </c>
      <c r="AM85" s="52">
        <f>AL87</f>
        <v>45066</v>
      </c>
      <c r="AN85" s="52">
        <f t="shared" ref="AN85:BR85" si="229">AM87</f>
        <v>31011</v>
      </c>
      <c r="AO85" s="52">
        <f t="shared" si="229"/>
        <v>28612</v>
      </c>
      <c r="AP85" s="52">
        <f t="shared" si="229"/>
        <v>29331</v>
      </c>
      <c r="AQ85" s="52">
        <f t="shared" si="229"/>
        <v>36787</v>
      </c>
      <c r="AR85" s="52">
        <f t="shared" si="229"/>
        <v>24897</v>
      </c>
      <c r="AS85" s="52">
        <f t="shared" si="229"/>
        <v>24636</v>
      </c>
      <c r="AT85" s="52">
        <f t="shared" si="229"/>
        <v>34322</v>
      </c>
      <c r="AU85" s="52">
        <f t="shared" si="229"/>
        <v>45537</v>
      </c>
      <c r="AV85" s="52">
        <f t="shared" si="229"/>
        <v>39778</v>
      </c>
      <c r="AW85" s="52">
        <f t="shared" si="229"/>
        <v>37822</v>
      </c>
      <c r="AX85" s="52">
        <f t="shared" si="229"/>
        <v>29251</v>
      </c>
      <c r="AY85" s="52">
        <f t="shared" si="229"/>
        <v>40235</v>
      </c>
      <c r="AZ85" s="52">
        <f t="shared" si="229"/>
        <v>34967</v>
      </c>
      <c r="BA85" s="52">
        <f t="shared" si="229"/>
        <v>37459</v>
      </c>
      <c r="BB85" s="52">
        <f t="shared" si="229"/>
        <v>36832</v>
      </c>
      <c r="BC85" s="52">
        <f t="shared" si="229"/>
        <v>30616</v>
      </c>
      <c r="BD85" s="52">
        <f t="shared" si="229"/>
        <v>15898</v>
      </c>
      <c r="BE85" s="52">
        <f t="shared" si="229"/>
        <v>19720</v>
      </c>
      <c r="BF85" s="52">
        <f t="shared" si="229"/>
        <v>28980</v>
      </c>
      <c r="BG85" s="52">
        <f t="shared" si="229"/>
        <v>26659</v>
      </c>
      <c r="BH85" s="52">
        <f t="shared" si="229"/>
        <v>18616</v>
      </c>
      <c r="BI85" s="52">
        <f t="shared" si="229"/>
        <v>21493</v>
      </c>
      <c r="BJ85" s="52">
        <f t="shared" si="229"/>
        <v>22939</v>
      </c>
      <c r="BK85" s="52">
        <f t="shared" si="229"/>
        <v>19541</v>
      </c>
      <c r="BL85" s="52">
        <f t="shared" si="229"/>
        <v>22235</v>
      </c>
      <c r="BM85" s="52">
        <f t="shared" si="229"/>
        <v>19435</v>
      </c>
      <c r="BN85" s="52">
        <f t="shared" si="229"/>
        <v>17716</v>
      </c>
      <c r="BO85" s="52">
        <f t="shared" si="229"/>
        <v>24280</v>
      </c>
      <c r="BP85" s="52">
        <f t="shared" si="229"/>
        <v>34312</v>
      </c>
      <c r="BQ85" s="52">
        <f t="shared" si="229"/>
        <v>22128</v>
      </c>
      <c r="BR85" s="52">
        <f t="shared" si="229"/>
        <v>20425</v>
      </c>
    </row>
    <row r="86" spans="2:77" ht="12" customHeight="1" x14ac:dyDescent="0.2">
      <c r="B86" s="51"/>
      <c r="C86" s="67" t="s">
        <v>189</v>
      </c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>
        <f>T86</f>
        <v>0</v>
      </c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</row>
    <row r="87" spans="2:77" ht="12" customHeight="1" x14ac:dyDescent="0.2">
      <c r="B87" s="230" t="s">
        <v>190</v>
      </c>
      <c r="C87" s="231"/>
      <c r="D87" s="68">
        <f t="shared" ref="D87:I87" si="230">SUM(D83,D85)</f>
        <v>45066</v>
      </c>
      <c r="E87" s="68">
        <f t="shared" si="230"/>
        <v>31011</v>
      </c>
      <c r="F87" s="68">
        <f t="shared" si="230"/>
        <v>28612</v>
      </c>
      <c r="G87" s="68">
        <f t="shared" si="230"/>
        <v>29331</v>
      </c>
      <c r="H87" s="68">
        <f t="shared" si="230"/>
        <v>36787</v>
      </c>
      <c r="I87" s="68">
        <f t="shared" si="230"/>
        <v>24897</v>
      </c>
      <c r="J87" s="68">
        <f>SUM(J83,J85)</f>
        <v>24636</v>
      </c>
      <c r="K87" s="68">
        <f t="shared" ref="K87:R87" si="231">SUM(K83,K85)</f>
        <v>34322</v>
      </c>
      <c r="L87" s="68">
        <f t="shared" si="231"/>
        <v>45537</v>
      </c>
      <c r="M87" s="68">
        <f t="shared" si="231"/>
        <v>39778</v>
      </c>
      <c r="N87" s="68">
        <f t="shared" si="231"/>
        <v>37822</v>
      </c>
      <c r="O87" s="68">
        <f t="shared" si="231"/>
        <v>29251</v>
      </c>
      <c r="P87" s="68">
        <f t="shared" si="231"/>
        <v>40235</v>
      </c>
      <c r="Q87" s="68">
        <f t="shared" si="231"/>
        <v>34967</v>
      </c>
      <c r="R87" s="68">
        <f t="shared" si="231"/>
        <v>37459</v>
      </c>
      <c r="S87" s="68">
        <f t="shared" ref="S87:AD87" si="232">SUM(S83,S85)</f>
        <v>36832</v>
      </c>
      <c r="T87" s="68">
        <f t="shared" si="232"/>
        <v>30616</v>
      </c>
      <c r="U87" s="68">
        <f t="shared" si="232"/>
        <v>15898</v>
      </c>
      <c r="V87" s="68">
        <f t="shared" si="232"/>
        <v>19720</v>
      </c>
      <c r="W87" s="68">
        <f t="shared" si="232"/>
        <v>28980</v>
      </c>
      <c r="X87" s="68">
        <f t="shared" si="232"/>
        <v>26659</v>
      </c>
      <c r="Y87" s="68">
        <f t="shared" si="232"/>
        <v>18616</v>
      </c>
      <c r="Z87" s="68">
        <f t="shared" si="232"/>
        <v>21493</v>
      </c>
      <c r="AA87" s="68">
        <f t="shared" si="232"/>
        <v>22939</v>
      </c>
      <c r="AB87" s="68">
        <f t="shared" si="232"/>
        <v>19541</v>
      </c>
      <c r="AC87" s="68">
        <f t="shared" si="232"/>
        <v>22235</v>
      </c>
      <c r="AD87" s="68">
        <f t="shared" si="232"/>
        <v>19435</v>
      </c>
      <c r="AE87" s="68">
        <f t="shared" ref="AE87:AI87" si="233">SUM(AE83,AE85)</f>
        <v>17716</v>
      </c>
      <c r="AF87" s="68">
        <f t="shared" si="233"/>
        <v>24280</v>
      </c>
      <c r="AG87" s="68">
        <f t="shared" si="233"/>
        <v>34312</v>
      </c>
      <c r="AH87" s="68">
        <f t="shared" si="233"/>
        <v>22128</v>
      </c>
      <c r="AI87" s="68">
        <f t="shared" si="233"/>
        <v>20425</v>
      </c>
      <c r="AJ87" s="68">
        <f t="shared" ref="AJ87" si="234">SUM(AJ83,AJ85)</f>
        <v>28493</v>
      </c>
      <c r="AL87" s="68">
        <f t="shared" ref="AL87:BC87" si="235">SUM(AL83,AL85)</f>
        <v>45066</v>
      </c>
      <c r="AM87" s="68">
        <f t="shared" si="235"/>
        <v>31011</v>
      </c>
      <c r="AN87" s="68">
        <f t="shared" si="235"/>
        <v>28612</v>
      </c>
      <c r="AO87" s="68">
        <f t="shared" si="235"/>
        <v>29331</v>
      </c>
      <c r="AP87" s="68">
        <f t="shared" si="235"/>
        <v>36787</v>
      </c>
      <c r="AQ87" s="68">
        <f t="shared" si="235"/>
        <v>24897</v>
      </c>
      <c r="AR87" s="68">
        <f t="shared" si="235"/>
        <v>24636</v>
      </c>
      <c r="AS87" s="68">
        <f t="shared" si="235"/>
        <v>34322</v>
      </c>
      <c r="AT87" s="68">
        <f t="shared" si="235"/>
        <v>45537</v>
      </c>
      <c r="AU87" s="68">
        <f t="shared" si="235"/>
        <v>39778</v>
      </c>
      <c r="AV87" s="68">
        <f t="shared" si="235"/>
        <v>37822</v>
      </c>
      <c r="AW87" s="68">
        <f t="shared" si="235"/>
        <v>29251</v>
      </c>
      <c r="AX87" s="68">
        <f t="shared" si="235"/>
        <v>40235</v>
      </c>
      <c r="AY87" s="68">
        <f t="shared" si="235"/>
        <v>34967</v>
      </c>
      <c r="AZ87" s="68">
        <f t="shared" si="235"/>
        <v>37459</v>
      </c>
      <c r="BA87" s="68">
        <f t="shared" si="235"/>
        <v>36832</v>
      </c>
      <c r="BB87" s="68">
        <f t="shared" si="235"/>
        <v>30616</v>
      </c>
      <c r="BC87" s="68">
        <f t="shared" si="235"/>
        <v>15898</v>
      </c>
      <c r="BD87" s="68">
        <f t="shared" ref="BD87:BG87" si="236">SUM(BD83,BD85)</f>
        <v>19720</v>
      </c>
      <c r="BE87" s="68">
        <f t="shared" si="236"/>
        <v>28980</v>
      </c>
      <c r="BF87" s="68">
        <f t="shared" si="236"/>
        <v>26659</v>
      </c>
      <c r="BG87" s="68">
        <f t="shared" si="236"/>
        <v>18616</v>
      </c>
      <c r="BH87" s="68">
        <f t="shared" ref="BH87:BK87" si="237">SUM(BH83,BH85)</f>
        <v>21493</v>
      </c>
      <c r="BI87" s="68">
        <f t="shared" si="237"/>
        <v>22939</v>
      </c>
      <c r="BJ87" s="68">
        <f t="shared" si="237"/>
        <v>19541</v>
      </c>
      <c r="BK87" s="68">
        <f t="shared" si="237"/>
        <v>22235</v>
      </c>
      <c r="BL87" s="68">
        <f t="shared" ref="BL87:BO87" si="238">SUM(BL83,BL85)</f>
        <v>19435</v>
      </c>
      <c r="BM87" s="68">
        <f t="shared" si="238"/>
        <v>17716</v>
      </c>
      <c r="BN87" s="68">
        <f t="shared" si="238"/>
        <v>24280</v>
      </c>
      <c r="BO87" s="68">
        <f t="shared" si="238"/>
        <v>34312</v>
      </c>
      <c r="BP87" s="68">
        <f t="shared" ref="BP87:BR87" si="239">SUM(BP83,BP85)</f>
        <v>22128</v>
      </c>
      <c r="BQ87" s="68">
        <f t="shared" si="239"/>
        <v>20425</v>
      </c>
      <c r="BR87" s="68">
        <f t="shared" si="239"/>
        <v>28493</v>
      </c>
    </row>
    <row r="88" spans="2:77" ht="12" customHeight="1" x14ac:dyDescent="0.2">
      <c r="B88" s="107"/>
      <c r="C88" s="108" t="s">
        <v>189</v>
      </c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  <c r="BQ88" s="53"/>
      <c r="BR88" s="53"/>
    </row>
    <row r="89" spans="2:77" ht="12" hidden="1" customHeight="1" x14ac:dyDescent="0.2">
      <c r="B89" s="54"/>
      <c r="C89" s="54"/>
      <c r="AL89" s="46" t="b">
        <f t="shared" ref="AL89:AW89" si="240">AL87=D87</f>
        <v>1</v>
      </c>
      <c r="AM89" s="46" t="b">
        <f t="shared" si="240"/>
        <v>1</v>
      </c>
      <c r="AN89" s="46" t="b">
        <f t="shared" si="240"/>
        <v>1</v>
      </c>
      <c r="AO89" s="46" t="b">
        <f t="shared" si="240"/>
        <v>1</v>
      </c>
      <c r="AP89" s="46" t="b">
        <f t="shared" si="240"/>
        <v>1</v>
      </c>
      <c r="AQ89" s="46" t="b">
        <f t="shared" si="240"/>
        <v>1</v>
      </c>
      <c r="AR89" s="46" t="b">
        <f t="shared" si="240"/>
        <v>1</v>
      </c>
      <c r="AS89" s="46" t="b">
        <f t="shared" si="240"/>
        <v>1</v>
      </c>
      <c r="AT89" s="46" t="b">
        <f t="shared" si="240"/>
        <v>1</v>
      </c>
      <c r="AU89" s="46" t="b">
        <f t="shared" si="240"/>
        <v>1</v>
      </c>
      <c r="AV89" s="46" t="b">
        <f t="shared" si="240"/>
        <v>1</v>
      </c>
      <c r="AW89" s="46" t="b">
        <f t="shared" si="240"/>
        <v>1</v>
      </c>
    </row>
    <row r="90" spans="2:77" ht="12" customHeight="1" x14ac:dyDescent="0.2">
      <c r="B90" s="54"/>
      <c r="C90" s="54"/>
    </row>
    <row r="91" spans="2:77" ht="12" customHeight="1" x14ac:dyDescent="0.2">
      <c r="B91" s="55"/>
      <c r="C91" s="56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M91" s="163">
        <v>7717</v>
      </c>
      <c r="BN91" s="163"/>
      <c r="BO91" s="163"/>
      <c r="BP91" s="163"/>
      <c r="BQ91" s="163"/>
    </row>
    <row r="92" spans="2:77" ht="12" customHeight="1" x14ac:dyDescent="0.2">
      <c r="B92" s="55"/>
      <c r="C92" s="56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</row>
    <row r="93" spans="2:77" s="60" customFormat="1" ht="12" customHeight="1" x14ac:dyDescent="0.2">
      <c r="B93" s="58"/>
      <c r="C93" s="59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8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</row>
  </sheetData>
  <mergeCells count="14">
    <mergeCell ref="B83:C83"/>
    <mergeCell ref="B85:C85"/>
    <mergeCell ref="B87:C87"/>
    <mergeCell ref="D8:AE8"/>
    <mergeCell ref="AL8:BM8"/>
    <mergeCell ref="B6:C6"/>
    <mergeCell ref="B44:C44"/>
    <mergeCell ref="B48:C48"/>
    <mergeCell ref="B69:C69"/>
    <mergeCell ref="B82:C82"/>
    <mergeCell ref="B8:C9"/>
    <mergeCell ref="B11:C11"/>
    <mergeCell ref="B12:C12"/>
    <mergeCell ref="B32:C32"/>
  </mergeCells>
  <pageMargins left="0.78740157480314965" right="0.78740157480314965" top="0.78740157480314965" bottom="1.1811023622047245" header="0.51181102362204722" footer="0.98425196850393704"/>
  <pageSetup paperSize="9" scale="19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42FF-76BC-41DE-90B0-2DB9078349A6}">
  <sheetPr>
    <tabColor rgb="FFC00000"/>
  </sheetPr>
  <dimension ref="B1:Y68"/>
  <sheetViews>
    <sheetView zoomScaleNormal="100" zoomScaleSheetLayoutView="100" workbookViewId="0">
      <pane xSplit="3" ySplit="1" topLeftCell="D26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40" sqref="R40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192</v>
      </c>
      <c r="C1" s="72"/>
      <c r="D1" s="48"/>
      <c r="E1" s="48"/>
      <c r="F1" s="48"/>
      <c r="G1" s="48"/>
      <c r="H1" s="48"/>
      <c r="I1" s="48"/>
      <c r="J1" s="48"/>
      <c r="L1" s="48" t="s">
        <v>192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2" t="s">
        <v>230</v>
      </c>
      <c r="C2" s="72"/>
      <c r="D2" s="48"/>
      <c r="E2" s="48"/>
      <c r="F2" s="48"/>
      <c r="G2" s="48"/>
      <c r="H2" s="48"/>
      <c r="I2" s="48"/>
      <c r="J2" s="48"/>
      <c r="L2" s="92" t="s">
        <v>230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174" t="s">
        <v>59</v>
      </c>
      <c r="C3" s="247"/>
      <c r="D3" s="244" t="s">
        <v>194</v>
      </c>
      <c r="E3" s="244" t="s">
        <v>195</v>
      </c>
      <c r="F3" s="244" t="s">
        <v>196</v>
      </c>
      <c r="G3" s="244" t="s">
        <v>197</v>
      </c>
      <c r="H3" s="244" t="s">
        <v>198</v>
      </c>
      <c r="I3" s="244" t="s">
        <v>199</v>
      </c>
      <c r="J3" s="244" t="s">
        <v>200</v>
      </c>
      <c r="K3" s="47"/>
      <c r="L3" s="174" t="s">
        <v>59</v>
      </c>
      <c r="M3" s="247"/>
      <c r="N3" s="244" t="s">
        <v>194</v>
      </c>
      <c r="O3" s="244" t="s">
        <v>195</v>
      </c>
      <c r="P3" s="244" t="s">
        <v>196</v>
      </c>
      <c r="Q3" s="244" t="s">
        <v>197</v>
      </c>
      <c r="R3" s="244" t="s">
        <v>198</v>
      </c>
      <c r="S3" s="244" t="s">
        <v>199</v>
      </c>
      <c r="T3" s="244" t="s">
        <v>200</v>
      </c>
    </row>
    <row r="4" spans="2:20" ht="11.1" customHeight="1" x14ac:dyDescent="0.2">
      <c r="B4" s="248"/>
      <c r="C4" s="249"/>
      <c r="D4" s="245"/>
      <c r="E4" s="245"/>
      <c r="F4" s="245"/>
      <c r="G4" s="245"/>
      <c r="H4" s="245"/>
      <c r="I4" s="245"/>
      <c r="J4" s="246"/>
      <c r="K4" s="47"/>
      <c r="L4" s="248"/>
      <c r="M4" s="249"/>
      <c r="N4" s="245"/>
      <c r="O4" s="245"/>
      <c r="P4" s="245"/>
      <c r="Q4" s="245"/>
      <c r="R4" s="245"/>
      <c r="S4" s="245"/>
      <c r="T4" s="246"/>
    </row>
    <row r="5" spans="2:20" ht="11.1" customHeight="1" x14ac:dyDescent="0.2">
      <c r="B5" s="242" t="s">
        <v>208</v>
      </c>
      <c r="C5" s="243"/>
      <c r="D5" s="243"/>
      <c r="E5" s="243"/>
      <c r="F5" s="243"/>
      <c r="G5" s="243"/>
      <c r="H5" s="73"/>
      <c r="I5" s="73"/>
      <c r="J5" s="73"/>
      <c r="K5" s="47"/>
      <c r="L5" s="242" t="s">
        <v>208</v>
      </c>
      <c r="M5" s="243"/>
      <c r="N5" s="243"/>
      <c r="O5" s="243"/>
      <c r="P5" s="243"/>
      <c r="Q5" s="243"/>
      <c r="R5" s="73"/>
      <c r="S5" s="73"/>
      <c r="T5" s="73"/>
    </row>
    <row r="6" spans="2:20" ht="11.1" customHeight="1" x14ac:dyDescent="0.2">
      <c r="B6" s="241" t="s">
        <v>202</v>
      </c>
      <c r="C6" s="241"/>
      <c r="D6" s="52">
        <v>76540</v>
      </c>
      <c r="E6" s="52">
        <v>48872</v>
      </c>
      <c r="F6" s="52">
        <v>56825</v>
      </c>
      <c r="G6" s="52">
        <v>0</v>
      </c>
      <c r="H6" s="52">
        <f t="shared" ref="H6:H17" si="0">SUM(D6:G6)</f>
        <v>182237</v>
      </c>
      <c r="I6" s="52">
        <v>5946</v>
      </c>
      <c r="J6" s="52">
        <f t="shared" ref="J6:J17" si="1">H6+I6</f>
        <v>188183</v>
      </c>
      <c r="K6" s="47"/>
      <c r="L6" s="241" t="s">
        <v>202</v>
      </c>
      <c r="M6" s="241"/>
      <c r="N6" s="52">
        <v>76540</v>
      </c>
      <c r="O6" s="52">
        <v>48872</v>
      </c>
      <c r="P6" s="52">
        <v>56825</v>
      </c>
      <c r="Q6" s="52">
        <v>0</v>
      </c>
      <c r="R6" s="52">
        <f t="shared" ref="R6:R17" si="2">SUM(N6:Q6)</f>
        <v>182237</v>
      </c>
      <c r="S6" s="52">
        <v>5946</v>
      </c>
      <c r="T6" s="52">
        <f t="shared" ref="T6:T17" si="3">R6+S6</f>
        <v>188183</v>
      </c>
    </row>
    <row r="7" spans="2:20" ht="11.1" customHeight="1" x14ac:dyDescent="0.2">
      <c r="B7" s="241" t="s">
        <v>33</v>
      </c>
      <c r="C7" s="241"/>
      <c r="D7" s="52">
        <v>53671</v>
      </c>
      <c r="E7" s="52">
        <v>35215</v>
      </c>
      <c r="F7" s="52">
        <f>35636-915</f>
        <v>34721</v>
      </c>
      <c r="G7" s="52">
        <v>0</v>
      </c>
      <c r="H7" s="52">
        <f t="shared" si="0"/>
        <v>123607</v>
      </c>
      <c r="I7" s="52">
        <v>5220</v>
      </c>
      <c r="J7" s="52">
        <f t="shared" si="1"/>
        <v>128827</v>
      </c>
      <c r="K7" s="47"/>
      <c r="L7" s="241" t="s">
        <v>33</v>
      </c>
      <c r="M7" s="241"/>
      <c r="N7" s="52">
        <v>53671</v>
      </c>
      <c r="O7" s="52">
        <v>35215</v>
      </c>
      <c r="P7" s="52">
        <f>35636-915</f>
        <v>34721</v>
      </c>
      <c r="Q7" s="52">
        <v>0</v>
      </c>
      <c r="R7" s="52">
        <f t="shared" si="2"/>
        <v>123607</v>
      </c>
      <c r="S7" s="52">
        <v>5220</v>
      </c>
      <c r="T7" s="52">
        <f t="shared" si="3"/>
        <v>128827</v>
      </c>
    </row>
    <row r="8" spans="2:20" ht="11.1" customHeight="1" x14ac:dyDescent="0.2">
      <c r="B8" s="238" t="s">
        <v>203</v>
      </c>
      <c r="C8" s="238"/>
      <c r="D8" s="49">
        <f>D6-D7</f>
        <v>22869</v>
      </c>
      <c r="E8" s="49">
        <f>E6-E7</f>
        <v>13657</v>
      </c>
      <c r="F8" s="49">
        <f>F6-F7</f>
        <v>22104</v>
      </c>
      <c r="G8" s="49">
        <f>G6-G7</f>
        <v>0</v>
      </c>
      <c r="H8" s="49">
        <f t="shared" si="0"/>
        <v>58630</v>
      </c>
      <c r="I8" s="49">
        <f>I6-I7</f>
        <v>726</v>
      </c>
      <c r="J8" s="49">
        <f t="shared" si="1"/>
        <v>59356</v>
      </c>
      <c r="K8" s="47"/>
      <c r="L8" s="238" t="s">
        <v>203</v>
      </c>
      <c r="M8" s="238"/>
      <c r="N8" s="49">
        <f>N6-N7</f>
        <v>22869</v>
      </c>
      <c r="O8" s="49">
        <f>O6-O7</f>
        <v>13657</v>
      </c>
      <c r="P8" s="49">
        <f>P6-P7</f>
        <v>22104</v>
      </c>
      <c r="Q8" s="49">
        <f>Q6-Q7</f>
        <v>0</v>
      </c>
      <c r="R8" s="49">
        <f t="shared" si="2"/>
        <v>58630</v>
      </c>
      <c r="S8" s="49">
        <f>S6-S7</f>
        <v>726</v>
      </c>
      <c r="T8" s="49">
        <f t="shared" si="3"/>
        <v>59356</v>
      </c>
    </row>
    <row r="9" spans="2:20" ht="11.1" customHeight="1" x14ac:dyDescent="0.2">
      <c r="B9" s="171" t="s">
        <v>4</v>
      </c>
      <c r="C9" s="172"/>
      <c r="D9" s="52">
        <v>3971</v>
      </c>
      <c r="E9" s="52">
        <v>1170</v>
      </c>
      <c r="F9" s="52">
        <f>3648-168</f>
        <v>3480</v>
      </c>
      <c r="G9" s="52">
        <v>60</v>
      </c>
      <c r="H9" s="52">
        <f t="shared" si="0"/>
        <v>8681</v>
      </c>
      <c r="I9" s="52">
        <v>44</v>
      </c>
      <c r="J9" s="52">
        <f t="shared" si="1"/>
        <v>8725</v>
      </c>
      <c r="K9" s="47"/>
      <c r="L9" s="171" t="s">
        <v>4</v>
      </c>
      <c r="M9" s="172"/>
      <c r="N9" s="52">
        <v>3971</v>
      </c>
      <c r="O9" s="52">
        <v>1170</v>
      </c>
      <c r="P9" s="52">
        <f>3648-168</f>
        <v>3480</v>
      </c>
      <c r="Q9" s="52">
        <v>60</v>
      </c>
      <c r="R9" s="52">
        <f t="shared" si="2"/>
        <v>8681</v>
      </c>
      <c r="S9" s="52">
        <v>44</v>
      </c>
      <c r="T9" s="52">
        <f t="shared" si="3"/>
        <v>8725</v>
      </c>
    </row>
    <row r="10" spans="2:20" ht="11.1" customHeight="1" x14ac:dyDescent="0.2">
      <c r="B10" s="171" t="s">
        <v>5</v>
      </c>
      <c r="C10" s="172"/>
      <c r="D10" s="52">
        <v>14526</v>
      </c>
      <c r="E10" s="52">
        <v>6642</v>
      </c>
      <c r="F10" s="52">
        <f>6671+1083</f>
        <v>7754</v>
      </c>
      <c r="G10" s="52">
        <v>716</v>
      </c>
      <c r="H10" s="52">
        <f t="shared" si="0"/>
        <v>29638</v>
      </c>
      <c r="I10" s="52"/>
      <c r="J10" s="52">
        <f t="shared" si="1"/>
        <v>29638</v>
      </c>
      <c r="K10" s="47"/>
      <c r="L10" s="171" t="s">
        <v>5</v>
      </c>
      <c r="M10" s="172"/>
      <c r="N10" s="52">
        <v>14526</v>
      </c>
      <c r="O10" s="52">
        <v>6642</v>
      </c>
      <c r="P10" s="52">
        <f>6671+1083</f>
        <v>7754</v>
      </c>
      <c r="Q10" s="52">
        <v>716</v>
      </c>
      <c r="R10" s="52">
        <f t="shared" si="2"/>
        <v>29638</v>
      </c>
      <c r="S10" s="52"/>
      <c r="T10" s="52">
        <f t="shared" si="3"/>
        <v>29638</v>
      </c>
    </row>
    <row r="11" spans="2:20" ht="11.1" customHeight="1" x14ac:dyDescent="0.2">
      <c r="B11" s="238" t="s">
        <v>204</v>
      </c>
      <c r="C11" s="238"/>
      <c r="D11" s="49">
        <f>D8-D9-D10</f>
        <v>4372</v>
      </c>
      <c r="E11" s="49">
        <f>E8-E9-E10</f>
        <v>5845</v>
      </c>
      <c r="F11" s="49">
        <f>F8-F9-F10</f>
        <v>10870</v>
      </c>
      <c r="G11" s="49">
        <f>G8-G9-G10</f>
        <v>-776</v>
      </c>
      <c r="H11" s="49">
        <f t="shared" si="0"/>
        <v>20311</v>
      </c>
      <c r="I11" s="49">
        <f>I8-I9-I10</f>
        <v>682</v>
      </c>
      <c r="J11" s="49">
        <f t="shared" si="1"/>
        <v>20993</v>
      </c>
      <c r="K11" s="47"/>
      <c r="L11" s="238" t="s">
        <v>204</v>
      </c>
      <c r="M11" s="238"/>
      <c r="N11" s="49">
        <f>N8-N9-N10</f>
        <v>4372</v>
      </c>
      <c r="O11" s="49">
        <f>O8-O9-O10</f>
        <v>5845</v>
      </c>
      <c r="P11" s="49">
        <f>P8-P9-P10</f>
        <v>10870</v>
      </c>
      <c r="Q11" s="49">
        <f>Q8-Q9-Q10</f>
        <v>-776</v>
      </c>
      <c r="R11" s="49">
        <f t="shared" si="2"/>
        <v>20311</v>
      </c>
      <c r="S11" s="49">
        <f>S8-S9-S10</f>
        <v>682</v>
      </c>
      <c r="T11" s="49">
        <f t="shared" si="3"/>
        <v>20993</v>
      </c>
    </row>
    <row r="12" spans="2:20" ht="11.1" customHeight="1" x14ac:dyDescent="0.2">
      <c r="B12" s="171" t="s">
        <v>205</v>
      </c>
      <c r="C12" s="172"/>
      <c r="D12" s="52">
        <v>-428</v>
      </c>
      <c r="E12" s="52">
        <v>-92</v>
      </c>
      <c r="F12" s="52">
        <v>-481</v>
      </c>
      <c r="G12" s="52">
        <v>0</v>
      </c>
      <c r="H12" s="52">
        <f t="shared" si="0"/>
        <v>-1001</v>
      </c>
      <c r="I12" s="52">
        <v>0</v>
      </c>
      <c r="J12" s="52">
        <f t="shared" si="1"/>
        <v>-1001</v>
      </c>
      <c r="K12" s="47"/>
      <c r="L12" s="171" t="s">
        <v>205</v>
      </c>
      <c r="M12" s="172"/>
      <c r="N12" s="52">
        <v>-428</v>
      </c>
      <c r="O12" s="52">
        <v>-92</v>
      </c>
      <c r="P12" s="52">
        <v>-481</v>
      </c>
      <c r="Q12" s="52">
        <v>0</v>
      </c>
      <c r="R12" s="52">
        <f t="shared" si="2"/>
        <v>-1001</v>
      </c>
      <c r="S12" s="52">
        <v>0</v>
      </c>
      <c r="T12" s="52">
        <f t="shared" si="3"/>
        <v>-1001</v>
      </c>
    </row>
    <row r="13" spans="2:20" ht="11.1" customHeight="1" x14ac:dyDescent="0.2">
      <c r="B13" s="180" t="s">
        <v>206</v>
      </c>
      <c r="C13" s="172"/>
      <c r="D13" s="52">
        <v>0</v>
      </c>
      <c r="E13" s="52">
        <v>0</v>
      </c>
      <c r="F13" s="52">
        <v>157</v>
      </c>
      <c r="G13" s="52">
        <v>0</v>
      </c>
      <c r="H13" s="52">
        <f t="shared" si="0"/>
        <v>157</v>
      </c>
      <c r="I13" s="52"/>
      <c r="J13" s="52">
        <f t="shared" si="1"/>
        <v>157</v>
      </c>
      <c r="K13" s="47"/>
      <c r="L13" s="180" t="s">
        <v>206</v>
      </c>
      <c r="M13" s="172"/>
      <c r="N13" s="52">
        <v>0</v>
      </c>
      <c r="O13" s="52">
        <v>0</v>
      </c>
      <c r="P13" s="52">
        <v>157</v>
      </c>
      <c r="Q13" s="52">
        <v>0</v>
      </c>
      <c r="R13" s="52">
        <f t="shared" si="2"/>
        <v>157</v>
      </c>
      <c r="S13" s="52"/>
      <c r="T13" s="52">
        <f t="shared" si="3"/>
        <v>157</v>
      </c>
    </row>
    <row r="14" spans="2:20" ht="11.1" customHeight="1" x14ac:dyDescent="0.2">
      <c r="B14" s="180" t="s">
        <v>27</v>
      </c>
      <c r="C14" s="172"/>
      <c r="D14" s="52"/>
      <c r="E14" s="52"/>
      <c r="F14" s="52"/>
      <c r="G14" s="52"/>
      <c r="H14" s="52">
        <f t="shared" si="0"/>
        <v>0</v>
      </c>
      <c r="I14" s="52">
        <v>0</v>
      </c>
      <c r="J14" s="52">
        <f t="shared" si="1"/>
        <v>0</v>
      </c>
      <c r="K14" s="47"/>
      <c r="L14" s="180" t="s">
        <v>27</v>
      </c>
      <c r="M14" s="172"/>
      <c r="N14" s="52"/>
      <c r="O14" s="52"/>
      <c r="P14" s="52"/>
      <c r="Q14" s="52"/>
      <c r="R14" s="52">
        <f t="shared" si="2"/>
        <v>0</v>
      </c>
      <c r="S14" s="52">
        <v>0</v>
      </c>
      <c r="T14" s="52">
        <f t="shared" si="3"/>
        <v>0</v>
      </c>
    </row>
    <row r="15" spans="2:20" ht="11.1" customHeight="1" x14ac:dyDescent="0.2">
      <c r="B15" s="238" t="s">
        <v>207</v>
      </c>
      <c r="C15" s="238"/>
      <c r="D15" s="49">
        <f>D11+D12+D13+D14</f>
        <v>3944</v>
      </c>
      <c r="E15" s="49">
        <f>E11+E12+E13+E14</f>
        <v>5753</v>
      </c>
      <c r="F15" s="49">
        <f>F11+F12+F13+F14</f>
        <v>10546</v>
      </c>
      <c r="G15" s="49">
        <f>G11+G12+G13+G14</f>
        <v>-776</v>
      </c>
      <c r="H15" s="49">
        <f t="shared" si="0"/>
        <v>19467</v>
      </c>
      <c r="I15" s="49">
        <f>I11+I12+I14</f>
        <v>682</v>
      </c>
      <c r="J15" s="49">
        <f t="shared" si="1"/>
        <v>20149</v>
      </c>
      <c r="K15" s="47"/>
      <c r="L15" s="238" t="s">
        <v>207</v>
      </c>
      <c r="M15" s="238"/>
      <c r="N15" s="49">
        <f>N11+N12+N13+N14</f>
        <v>3944</v>
      </c>
      <c r="O15" s="49">
        <f>O11+O12+O13+O14</f>
        <v>5753</v>
      </c>
      <c r="P15" s="49">
        <f>P11+P12+P13+P14</f>
        <v>10546</v>
      </c>
      <c r="Q15" s="49">
        <f>Q11+Q12+Q13+Q14</f>
        <v>-776</v>
      </c>
      <c r="R15" s="49">
        <f t="shared" si="2"/>
        <v>19467</v>
      </c>
      <c r="S15" s="49">
        <f>S11+S12+S14</f>
        <v>682</v>
      </c>
      <c r="T15" s="49">
        <f t="shared" si="3"/>
        <v>20149</v>
      </c>
    </row>
    <row r="16" spans="2:20" ht="11.1" customHeight="1" x14ac:dyDescent="0.2">
      <c r="B16" s="75" t="s">
        <v>22</v>
      </c>
      <c r="C16" s="76"/>
      <c r="D16" s="49">
        <v>5272</v>
      </c>
      <c r="E16" s="49">
        <v>2923</v>
      </c>
      <c r="F16" s="49">
        <v>1842</v>
      </c>
      <c r="G16" s="49">
        <v>0</v>
      </c>
      <c r="H16" s="49">
        <f t="shared" si="0"/>
        <v>10037</v>
      </c>
      <c r="I16" s="49">
        <v>0</v>
      </c>
      <c r="J16" s="49">
        <f t="shared" si="1"/>
        <v>10037</v>
      </c>
      <c r="K16" s="47"/>
      <c r="L16" s="75" t="s">
        <v>22</v>
      </c>
      <c r="M16" s="76"/>
      <c r="N16" s="49">
        <v>5272</v>
      </c>
      <c r="O16" s="49">
        <v>2923</v>
      </c>
      <c r="P16" s="49">
        <v>1842</v>
      </c>
      <c r="Q16" s="49">
        <v>0</v>
      </c>
      <c r="R16" s="49">
        <f t="shared" si="2"/>
        <v>10037</v>
      </c>
      <c r="S16" s="49">
        <v>0</v>
      </c>
      <c r="T16" s="49">
        <f t="shared" si="3"/>
        <v>10037</v>
      </c>
    </row>
    <row r="17" spans="2:25" ht="11.1" customHeight="1" x14ac:dyDescent="0.2">
      <c r="B17" s="239" t="s">
        <v>23</v>
      </c>
      <c r="C17" s="240"/>
      <c r="D17" s="49">
        <f>D15+D16</f>
        <v>9216</v>
      </c>
      <c r="E17" s="49">
        <f t="shared" ref="E17:G17" si="4">E15+E16</f>
        <v>8676</v>
      </c>
      <c r="F17" s="49">
        <f t="shared" si="4"/>
        <v>12388</v>
      </c>
      <c r="G17" s="49">
        <f t="shared" si="4"/>
        <v>-776</v>
      </c>
      <c r="H17" s="49">
        <f t="shared" si="0"/>
        <v>29504</v>
      </c>
      <c r="I17" s="49">
        <f t="shared" ref="I17" si="5">I15+I16</f>
        <v>682</v>
      </c>
      <c r="J17" s="49">
        <f t="shared" si="1"/>
        <v>30186</v>
      </c>
      <c r="K17" s="47"/>
      <c r="L17" s="239" t="s">
        <v>23</v>
      </c>
      <c r="M17" s="240"/>
      <c r="N17" s="49">
        <f>N15+N16</f>
        <v>9216</v>
      </c>
      <c r="O17" s="49">
        <f t="shared" ref="O17:Q17" si="6">O15+O16</f>
        <v>8676</v>
      </c>
      <c r="P17" s="49">
        <f t="shared" si="6"/>
        <v>12388</v>
      </c>
      <c r="Q17" s="49">
        <f t="shared" si="6"/>
        <v>-776</v>
      </c>
      <c r="R17" s="49">
        <f t="shared" si="2"/>
        <v>29504</v>
      </c>
      <c r="S17" s="49">
        <f t="shared" ref="S17" si="7">S15+S16</f>
        <v>682</v>
      </c>
      <c r="T17" s="49">
        <f t="shared" si="3"/>
        <v>30186</v>
      </c>
      <c r="Y17" s="87" t="s">
        <v>229</v>
      </c>
    </row>
    <row r="18" spans="2:25" ht="11.1" customHeight="1" x14ac:dyDescent="0.2">
      <c r="B18" s="81"/>
      <c r="C18" s="81"/>
      <c r="D18" s="82"/>
      <c r="E18" s="82"/>
      <c r="F18" s="82"/>
      <c r="G18" s="82"/>
      <c r="H18" s="82"/>
      <c r="I18" s="82"/>
      <c r="J18" s="82"/>
      <c r="K18" s="47"/>
      <c r="L18" s="81"/>
      <c r="M18" s="81"/>
      <c r="N18" s="82"/>
      <c r="O18" s="82"/>
      <c r="P18" s="82"/>
      <c r="Q18" s="82"/>
      <c r="R18" s="82"/>
      <c r="S18" s="82"/>
      <c r="T18" s="82"/>
    </row>
    <row r="19" spans="2:25" s="47" customFormat="1" ht="11.1" customHeight="1" x14ac:dyDescent="0.2">
      <c r="B19" s="77"/>
      <c r="C19" s="78"/>
      <c r="D19" s="77"/>
      <c r="E19" s="77"/>
      <c r="F19" s="77"/>
      <c r="G19" s="77"/>
      <c r="H19" s="77"/>
      <c r="I19" s="77"/>
      <c r="J19" s="77"/>
      <c r="L19" s="77"/>
      <c r="M19" s="78"/>
      <c r="N19" s="77"/>
      <c r="O19" s="77"/>
      <c r="P19" s="77"/>
      <c r="Q19" s="77"/>
      <c r="R19" s="77"/>
      <c r="S19" s="77"/>
      <c r="T19" s="77"/>
    </row>
    <row r="20" spans="2:25" s="47" customFormat="1" ht="11.1" customHeight="1" x14ac:dyDescent="0.2">
      <c r="B20" s="174" t="s">
        <v>59</v>
      </c>
      <c r="C20" s="247"/>
      <c r="D20" s="244" t="s">
        <v>194</v>
      </c>
      <c r="E20" s="244" t="s">
        <v>195</v>
      </c>
      <c r="F20" s="244" t="s">
        <v>196</v>
      </c>
      <c r="G20" s="244" t="s">
        <v>197</v>
      </c>
      <c r="H20" s="244" t="s">
        <v>198</v>
      </c>
      <c r="I20" s="244" t="s">
        <v>199</v>
      </c>
      <c r="J20" s="244" t="s">
        <v>200</v>
      </c>
      <c r="L20" s="174" t="s">
        <v>59</v>
      </c>
      <c r="M20" s="247"/>
      <c r="N20" s="244" t="s">
        <v>194</v>
      </c>
      <c r="O20" s="244" t="s">
        <v>195</v>
      </c>
      <c r="P20" s="244" t="s">
        <v>196</v>
      </c>
      <c r="Q20" s="244" t="s">
        <v>197</v>
      </c>
      <c r="R20" s="244" t="s">
        <v>198</v>
      </c>
      <c r="S20" s="244" t="s">
        <v>199</v>
      </c>
      <c r="T20" s="244" t="s">
        <v>200</v>
      </c>
    </row>
    <row r="21" spans="2:25" s="47" customFormat="1" ht="11.1" customHeight="1" x14ac:dyDescent="0.2">
      <c r="B21" s="248"/>
      <c r="C21" s="249"/>
      <c r="D21" s="245"/>
      <c r="E21" s="245"/>
      <c r="F21" s="245"/>
      <c r="G21" s="245"/>
      <c r="H21" s="245"/>
      <c r="I21" s="245"/>
      <c r="J21" s="246"/>
      <c r="L21" s="248"/>
      <c r="M21" s="249"/>
      <c r="N21" s="245"/>
      <c r="O21" s="245"/>
      <c r="P21" s="245"/>
      <c r="Q21" s="245"/>
      <c r="R21" s="245"/>
      <c r="S21" s="245"/>
      <c r="T21" s="246"/>
    </row>
    <row r="22" spans="2:25" s="47" customFormat="1" ht="11.1" customHeight="1" x14ac:dyDescent="0.2">
      <c r="B22" s="242" t="s">
        <v>211</v>
      </c>
      <c r="C22" s="243"/>
      <c r="D22" s="243"/>
      <c r="E22" s="243"/>
      <c r="F22" s="243"/>
      <c r="G22" s="243"/>
      <c r="H22" s="73"/>
      <c r="I22" s="73"/>
      <c r="J22" s="73"/>
      <c r="L22" s="242" t="s">
        <v>212</v>
      </c>
      <c r="M22" s="243"/>
      <c r="N22" s="243"/>
      <c r="O22" s="243"/>
      <c r="P22" s="243"/>
      <c r="Q22" s="243"/>
      <c r="R22" s="73"/>
      <c r="S22" s="73"/>
      <c r="T22" s="73"/>
    </row>
    <row r="23" spans="2:25" s="47" customFormat="1" ht="11.1" customHeight="1" x14ac:dyDescent="0.2">
      <c r="B23" s="241" t="s">
        <v>202</v>
      </c>
      <c r="C23" s="241"/>
      <c r="D23" s="52">
        <v>174599</v>
      </c>
      <c r="E23" s="52">
        <v>94169</v>
      </c>
      <c r="F23" s="52">
        <v>115768</v>
      </c>
      <c r="G23" s="52">
        <v>0</v>
      </c>
      <c r="H23" s="52">
        <f t="shared" ref="H23:H34" si="8">SUM(D23:G23)</f>
        <v>384536</v>
      </c>
      <c r="I23" s="52">
        <v>11540</v>
      </c>
      <c r="J23" s="52">
        <f t="shared" ref="J23:J34" si="9">H23+I23</f>
        <v>396076</v>
      </c>
      <c r="L23" s="241" t="s">
        <v>202</v>
      </c>
      <c r="M23" s="241"/>
      <c r="N23" s="52">
        <f t="shared" ref="N23:Q24" si="10">D23-D6</f>
        <v>98059</v>
      </c>
      <c r="O23" s="52">
        <f t="shared" si="10"/>
        <v>45297</v>
      </c>
      <c r="P23" s="52">
        <f t="shared" si="10"/>
        <v>58943</v>
      </c>
      <c r="Q23" s="52">
        <f t="shared" si="10"/>
        <v>0</v>
      </c>
      <c r="R23" s="52">
        <f>SUM(N23:Q23)</f>
        <v>202299</v>
      </c>
      <c r="S23" s="52">
        <f>I23-I6</f>
        <v>5594</v>
      </c>
      <c r="T23" s="52">
        <f t="shared" ref="T23:T34" si="11">R23+S23</f>
        <v>207893</v>
      </c>
    </row>
    <row r="24" spans="2:25" s="47" customFormat="1" ht="11.1" customHeight="1" x14ac:dyDescent="0.2">
      <c r="B24" s="241" t="s">
        <v>33</v>
      </c>
      <c r="C24" s="241"/>
      <c r="D24" s="52">
        <v>121438</v>
      </c>
      <c r="E24" s="52">
        <v>70137</v>
      </c>
      <c r="F24" s="52">
        <v>69623</v>
      </c>
      <c r="G24" s="52">
        <v>0</v>
      </c>
      <c r="H24" s="52">
        <f t="shared" si="8"/>
        <v>261198</v>
      </c>
      <c r="I24" s="52">
        <v>10382</v>
      </c>
      <c r="J24" s="52">
        <f t="shared" si="9"/>
        <v>271580</v>
      </c>
      <c r="L24" s="241" t="s">
        <v>33</v>
      </c>
      <c r="M24" s="241"/>
      <c r="N24" s="52">
        <f t="shared" si="10"/>
        <v>67767</v>
      </c>
      <c r="O24" s="52">
        <f t="shared" si="10"/>
        <v>34922</v>
      </c>
      <c r="P24" s="52">
        <f t="shared" si="10"/>
        <v>34902</v>
      </c>
      <c r="Q24" s="52">
        <f t="shared" si="10"/>
        <v>0</v>
      </c>
      <c r="R24" s="52">
        <f t="shared" ref="R24:R34" si="12">SUM(N24:Q24)</f>
        <v>137591</v>
      </c>
      <c r="S24" s="52">
        <f>I24-I7</f>
        <v>5162</v>
      </c>
      <c r="T24" s="52">
        <f t="shared" si="11"/>
        <v>142753</v>
      </c>
    </row>
    <row r="25" spans="2:25" s="47" customFormat="1" ht="11.1" customHeight="1" x14ac:dyDescent="0.2">
      <c r="B25" s="238" t="s">
        <v>203</v>
      </c>
      <c r="C25" s="238"/>
      <c r="D25" s="49">
        <f>D23-D24</f>
        <v>53161</v>
      </c>
      <c r="E25" s="49">
        <f>E23-E24</f>
        <v>24032</v>
      </c>
      <c r="F25" s="49">
        <f>F23-F24</f>
        <v>46145</v>
      </c>
      <c r="G25" s="49">
        <f>G23-G24</f>
        <v>0</v>
      </c>
      <c r="H25" s="49">
        <f t="shared" si="8"/>
        <v>123338</v>
      </c>
      <c r="I25" s="49">
        <f>I23-I24</f>
        <v>1158</v>
      </c>
      <c r="J25" s="49">
        <f t="shared" si="9"/>
        <v>124496</v>
      </c>
      <c r="L25" s="238" t="s">
        <v>203</v>
      </c>
      <c r="M25" s="238"/>
      <c r="N25" s="49">
        <f>N23-N24</f>
        <v>30292</v>
      </c>
      <c r="O25" s="49">
        <f>O23-O24</f>
        <v>10375</v>
      </c>
      <c r="P25" s="49">
        <f>P23-P24</f>
        <v>24041</v>
      </c>
      <c r="Q25" s="49">
        <f>Q23-Q24</f>
        <v>0</v>
      </c>
      <c r="R25" s="49">
        <f t="shared" si="12"/>
        <v>64708</v>
      </c>
      <c r="S25" s="49">
        <f>S23-S24</f>
        <v>432</v>
      </c>
      <c r="T25" s="49">
        <f t="shared" si="11"/>
        <v>65140</v>
      </c>
    </row>
    <row r="26" spans="2:25" s="47" customFormat="1" ht="11.1" customHeight="1" x14ac:dyDescent="0.2">
      <c r="B26" s="171" t="s">
        <v>4</v>
      </c>
      <c r="C26" s="172"/>
      <c r="D26" s="52">
        <v>8342</v>
      </c>
      <c r="E26" s="52">
        <v>2648</v>
      </c>
      <c r="F26" s="52">
        <v>7527</v>
      </c>
      <c r="G26" s="52">
        <v>120</v>
      </c>
      <c r="H26" s="52">
        <f t="shared" si="8"/>
        <v>18637</v>
      </c>
      <c r="I26" s="52">
        <v>110</v>
      </c>
      <c r="J26" s="52">
        <f t="shared" si="9"/>
        <v>18747</v>
      </c>
      <c r="L26" s="171" t="s">
        <v>4</v>
      </c>
      <c r="M26" s="172"/>
      <c r="N26" s="52">
        <f t="shared" ref="N26:Q27" si="13">D26-D9</f>
        <v>4371</v>
      </c>
      <c r="O26" s="52">
        <f t="shared" si="13"/>
        <v>1478</v>
      </c>
      <c r="P26" s="52">
        <f t="shared" si="13"/>
        <v>4047</v>
      </c>
      <c r="Q26" s="52">
        <f t="shared" si="13"/>
        <v>60</v>
      </c>
      <c r="R26" s="52">
        <f t="shared" si="12"/>
        <v>9956</v>
      </c>
      <c r="S26" s="52">
        <f>I26-I9</f>
        <v>66</v>
      </c>
      <c r="T26" s="52">
        <f t="shared" si="11"/>
        <v>10022</v>
      </c>
    </row>
    <row r="27" spans="2:25" s="47" customFormat="1" ht="11.1" customHeight="1" x14ac:dyDescent="0.2">
      <c r="B27" s="171" t="s">
        <v>5</v>
      </c>
      <c r="C27" s="172"/>
      <c r="D27" s="52">
        <v>29213</v>
      </c>
      <c r="E27" s="52">
        <v>11394</v>
      </c>
      <c r="F27" s="52">
        <v>16945</v>
      </c>
      <c r="G27" s="52">
        <v>1348.44</v>
      </c>
      <c r="H27" s="52">
        <f t="shared" si="8"/>
        <v>58900.44</v>
      </c>
      <c r="I27" s="52">
        <v>210</v>
      </c>
      <c r="J27" s="52">
        <f t="shared" si="9"/>
        <v>59110.44</v>
      </c>
      <c r="L27" s="171" t="s">
        <v>5</v>
      </c>
      <c r="M27" s="172"/>
      <c r="N27" s="52">
        <f t="shared" si="13"/>
        <v>14687</v>
      </c>
      <c r="O27" s="52">
        <f t="shared" si="13"/>
        <v>4752</v>
      </c>
      <c r="P27" s="52">
        <f t="shared" si="13"/>
        <v>9191</v>
      </c>
      <c r="Q27" s="52">
        <f t="shared" si="13"/>
        <v>632.44000000000005</v>
      </c>
      <c r="R27" s="52">
        <f t="shared" si="12"/>
        <v>29262.44</v>
      </c>
      <c r="S27" s="52">
        <f>I27-I10</f>
        <v>210</v>
      </c>
      <c r="T27" s="52">
        <f t="shared" si="11"/>
        <v>29472.44</v>
      </c>
    </row>
    <row r="28" spans="2:25" s="47" customFormat="1" ht="11.1" customHeight="1" x14ac:dyDescent="0.2">
      <c r="B28" s="238" t="s">
        <v>204</v>
      </c>
      <c r="C28" s="238"/>
      <c r="D28" s="49">
        <f>D25-D26-D27</f>
        <v>15606</v>
      </c>
      <c r="E28" s="49">
        <f>E25-E26-E27</f>
        <v>9990</v>
      </c>
      <c r="F28" s="49">
        <f>F25-F26-F27</f>
        <v>21673</v>
      </c>
      <c r="G28" s="49">
        <f>G25-G26-G27</f>
        <v>-1468.44</v>
      </c>
      <c r="H28" s="49">
        <f t="shared" si="8"/>
        <v>45800.56</v>
      </c>
      <c r="I28" s="49">
        <f>I25-I26-I27</f>
        <v>838</v>
      </c>
      <c r="J28" s="49">
        <f t="shared" si="9"/>
        <v>46638.559999999998</v>
      </c>
      <c r="L28" s="238" t="s">
        <v>204</v>
      </c>
      <c r="M28" s="238"/>
      <c r="N28" s="49">
        <f>N25-N26-N27</f>
        <v>11234</v>
      </c>
      <c r="O28" s="49">
        <f>O25-O26-O27</f>
        <v>4145</v>
      </c>
      <c r="P28" s="49">
        <f>P25-P26-P27</f>
        <v>10803</v>
      </c>
      <c r="Q28" s="49">
        <f>Q25-Q26-Q27</f>
        <v>-692.44</v>
      </c>
      <c r="R28" s="49">
        <f t="shared" si="12"/>
        <v>25489.56</v>
      </c>
      <c r="S28" s="49">
        <f>S25-S26-S27</f>
        <v>156</v>
      </c>
      <c r="T28" s="49">
        <f t="shared" si="11"/>
        <v>25645.56</v>
      </c>
    </row>
    <row r="29" spans="2:25" s="47" customFormat="1" ht="11.1" customHeight="1" x14ac:dyDescent="0.2">
      <c r="B29" s="171" t="s">
        <v>205</v>
      </c>
      <c r="C29" s="172"/>
      <c r="D29" s="52">
        <v>-762</v>
      </c>
      <c r="E29" s="52">
        <v>21</v>
      </c>
      <c r="F29" s="52">
        <v>-835</v>
      </c>
      <c r="G29" s="52">
        <v>0</v>
      </c>
      <c r="H29" s="52">
        <f t="shared" si="8"/>
        <v>-1576</v>
      </c>
      <c r="I29" s="52">
        <v>0</v>
      </c>
      <c r="J29" s="52">
        <f t="shared" si="9"/>
        <v>-1576</v>
      </c>
      <c r="L29" s="171" t="s">
        <v>205</v>
      </c>
      <c r="M29" s="172"/>
      <c r="N29" s="52">
        <f t="shared" ref="N29:Q31" si="14">D29-D12</f>
        <v>-334</v>
      </c>
      <c r="O29" s="52">
        <f t="shared" si="14"/>
        <v>113</v>
      </c>
      <c r="P29" s="52">
        <f t="shared" si="14"/>
        <v>-354</v>
      </c>
      <c r="Q29" s="52">
        <f t="shared" si="14"/>
        <v>0</v>
      </c>
      <c r="R29" s="52">
        <f t="shared" si="12"/>
        <v>-575</v>
      </c>
      <c r="S29" s="52">
        <f>I29-I12</f>
        <v>0</v>
      </c>
      <c r="T29" s="52">
        <f t="shared" si="11"/>
        <v>-575</v>
      </c>
    </row>
    <row r="30" spans="2:25" s="47" customFormat="1" ht="11.1" customHeight="1" x14ac:dyDescent="0.2">
      <c r="B30" s="180" t="s">
        <v>206</v>
      </c>
      <c r="C30" s="172"/>
      <c r="D30" s="52">
        <v>0</v>
      </c>
      <c r="E30" s="52">
        <v>13</v>
      </c>
      <c r="F30" s="52">
        <v>440</v>
      </c>
      <c r="G30" s="52">
        <v>0</v>
      </c>
      <c r="H30" s="52">
        <f t="shared" si="8"/>
        <v>453</v>
      </c>
      <c r="I30" s="52">
        <v>0</v>
      </c>
      <c r="J30" s="52">
        <f t="shared" si="9"/>
        <v>453</v>
      </c>
      <c r="L30" s="180" t="s">
        <v>206</v>
      </c>
      <c r="M30" s="172"/>
      <c r="N30" s="52">
        <f t="shared" si="14"/>
        <v>0</v>
      </c>
      <c r="O30" s="52">
        <f t="shared" si="14"/>
        <v>13</v>
      </c>
      <c r="P30" s="52">
        <f t="shared" si="14"/>
        <v>283</v>
      </c>
      <c r="Q30" s="52">
        <f t="shared" si="14"/>
        <v>0</v>
      </c>
      <c r="R30" s="52">
        <f t="shared" si="12"/>
        <v>296</v>
      </c>
      <c r="S30" s="52">
        <f>I30-I13</f>
        <v>0</v>
      </c>
      <c r="T30" s="52">
        <f t="shared" si="11"/>
        <v>296</v>
      </c>
    </row>
    <row r="31" spans="2:25" s="47" customFormat="1" ht="11.1" customHeight="1" x14ac:dyDescent="0.2">
      <c r="B31" s="180" t="s">
        <v>27</v>
      </c>
      <c r="C31" s="172"/>
      <c r="D31" s="52">
        <v>0</v>
      </c>
      <c r="E31" s="52">
        <v>0</v>
      </c>
      <c r="F31" s="52">
        <v>0</v>
      </c>
      <c r="G31" s="52">
        <v>0</v>
      </c>
      <c r="H31" s="52">
        <f t="shared" si="8"/>
        <v>0</v>
      </c>
      <c r="I31" s="52">
        <v>0</v>
      </c>
      <c r="J31" s="52">
        <f t="shared" si="9"/>
        <v>0</v>
      </c>
      <c r="L31" s="180" t="s">
        <v>27</v>
      </c>
      <c r="M31" s="172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f t="shared" si="14"/>
        <v>0</v>
      </c>
      <c r="R31" s="52">
        <f t="shared" si="12"/>
        <v>0</v>
      </c>
      <c r="S31" s="52">
        <f>I31-I14</f>
        <v>0</v>
      </c>
      <c r="T31" s="52">
        <f t="shared" si="11"/>
        <v>0</v>
      </c>
    </row>
    <row r="32" spans="2:25" s="47" customFormat="1" ht="11.1" customHeight="1" x14ac:dyDescent="0.2">
      <c r="B32" s="238" t="s">
        <v>207</v>
      </c>
      <c r="C32" s="238"/>
      <c r="D32" s="49">
        <f>D28+D29+D30+D31</f>
        <v>14844</v>
      </c>
      <c r="E32" s="49">
        <f>E28+E29+E30+E31</f>
        <v>10024</v>
      </c>
      <c r="F32" s="49">
        <f>F28+F29+F30+F31</f>
        <v>21278</v>
      </c>
      <c r="G32" s="49">
        <f>G28+G29+G30+G31</f>
        <v>-1468.44</v>
      </c>
      <c r="H32" s="49">
        <f t="shared" si="8"/>
        <v>44677.56</v>
      </c>
      <c r="I32" s="49">
        <f>I28+I29+I31</f>
        <v>838</v>
      </c>
      <c r="J32" s="49">
        <f t="shared" si="9"/>
        <v>45515.56</v>
      </c>
      <c r="L32" s="238" t="s">
        <v>207</v>
      </c>
      <c r="M32" s="238"/>
      <c r="N32" s="49">
        <f t="shared" ref="N32:Q32" si="15">N28+N29+N30+N31</f>
        <v>10900</v>
      </c>
      <c r="O32" s="49">
        <f t="shared" si="15"/>
        <v>4271</v>
      </c>
      <c r="P32" s="49">
        <f t="shared" si="15"/>
        <v>10732</v>
      </c>
      <c r="Q32" s="49">
        <f t="shared" si="15"/>
        <v>-692.44</v>
      </c>
      <c r="R32" s="49">
        <f t="shared" si="12"/>
        <v>25210.560000000001</v>
      </c>
      <c r="S32" s="49">
        <f>S28+S29+S31</f>
        <v>156</v>
      </c>
      <c r="T32" s="49">
        <f t="shared" si="11"/>
        <v>25366.560000000001</v>
      </c>
    </row>
    <row r="33" spans="2:20" s="47" customFormat="1" ht="11.1" customHeight="1" x14ac:dyDescent="0.2">
      <c r="B33" s="75" t="s">
        <v>22</v>
      </c>
      <c r="C33" s="76"/>
      <c r="D33" s="49">
        <v>10434</v>
      </c>
      <c r="E33" s="49">
        <v>6063</v>
      </c>
      <c r="F33" s="49">
        <v>3879</v>
      </c>
      <c r="G33" s="49">
        <v>0</v>
      </c>
      <c r="H33" s="49">
        <f t="shared" si="8"/>
        <v>20376</v>
      </c>
      <c r="I33" s="49">
        <v>0</v>
      </c>
      <c r="J33" s="49">
        <f t="shared" si="9"/>
        <v>20376</v>
      </c>
      <c r="L33" s="75" t="s">
        <v>22</v>
      </c>
      <c r="M33" s="76"/>
      <c r="N33" s="49">
        <f>D33-D16</f>
        <v>5162</v>
      </c>
      <c r="O33" s="49">
        <f>E33-E16</f>
        <v>3140</v>
      </c>
      <c r="P33" s="49">
        <f>F33-F16</f>
        <v>2037</v>
      </c>
      <c r="Q33" s="49">
        <f>G33-G16</f>
        <v>0</v>
      </c>
      <c r="R33" s="49">
        <f t="shared" si="12"/>
        <v>10339</v>
      </c>
      <c r="S33" s="49">
        <f>I33-I16</f>
        <v>0</v>
      </c>
      <c r="T33" s="49">
        <f t="shared" si="11"/>
        <v>10339</v>
      </c>
    </row>
    <row r="34" spans="2:20" s="47" customFormat="1" ht="11.1" customHeight="1" x14ac:dyDescent="0.2">
      <c r="B34" s="239" t="s">
        <v>23</v>
      </c>
      <c r="C34" s="240"/>
      <c r="D34" s="49">
        <f>D32+D33</f>
        <v>25278</v>
      </c>
      <c r="E34" s="49">
        <f t="shared" ref="E34:G34" si="16">E32+E33</f>
        <v>16087</v>
      </c>
      <c r="F34" s="49">
        <f t="shared" si="16"/>
        <v>25157</v>
      </c>
      <c r="G34" s="49">
        <f t="shared" si="16"/>
        <v>-1468.44</v>
      </c>
      <c r="H34" s="49">
        <f t="shared" si="8"/>
        <v>65053.56</v>
      </c>
      <c r="I34" s="49">
        <f t="shared" ref="I34" si="17">I32+I33</f>
        <v>838</v>
      </c>
      <c r="J34" s="49">
        <f t="shared" si="9"/>
        <v>65891.56</v>
      </c>
      <c r="L34" s="239" t="s">
        <v>23</v>
      </c>
      <c r="M34" s="240"/>
      <c r="N34" s="49">
        <f>N32+N33</f>
        <v>16062</v>
      </c>
      <c r="O34" s="49">
        <f t="shared" ref="O34:Q34" si="18">O32+O33</f>
        <v>7411</v>
      </c>
      <c r="P34" s="49">
        <f t="shared" si="18"/>
        <v>12769</v>
      </c>
      <c r="Q34" s="49">
        <f t="shared" si="18"/>
        <v>-692.44</v>
      </c>
      <c r="R34" s="49">
        <f t="shared" si="12"/>
        <v>35549.56</v>
      </c>
      <c r="S34" s="49">
        <f>S32+S33</f>
        <v>156</v>
      </c>
      <c r="T34" s="49">
        <f t="shared" si="11"/>
        <v>35705.56</v>
      </c>
    </row>
    <row r="35" spans="2:20" s="47" customFormat="1" ht="11.1" customHeight="1" x14ac:dyDescent="0.2">
      <c r="B35" s="81"/>
      <c r="C35" s="81"/>
      <c r="D35" s="82"/>
      <c r="E35" s="82"/>
      <c r="F35" s="82"/>
      <c r="G35" s="82"/>
      <c r="H35" s="82"/>
      <c r="I35" s="82"/>
      <c r="J35" s="83"/>
      <c r="L35" s="81"/>
      <c r="M35" s="81"/>
      <c r="N35" s="82"/>
      <c r="O35" s="82"/>
      <c r="P35" s="82"/>
      <c r="Q35" s="82"/>
      <c r="R35" s="82"/>
      <c r="S35" s="82"/>
      <c r="T35" s="83"/>
    </row>
    <row r="36" spans="2:20" ht="11.1" customHeight="1" x14ac:dyDescent="0.2">
      <c r="B36" s="48" t="s">
        <v>193</v>
      </c>
      <c r="C36" s="72"/>
      <c r="D36" s="48"/>
      <c r="E36" s="48"/>
      <c r="F36" s="48"/>
      <c r="G36" s="48"/>
      <c r="H36" s="48"/>
      <c r="I36" s="48"/>
      <c r="J36" s="79"/>
      <c r="L36" s="48" t="s">
        <v>193</v>
      </c>
      <c r="M36" s="72"/>
      <c r="N36" s="48"/>
      <c r="O36" s="48"/>
      <c r="P36" s="48"/>
      <c r="Q36" s="48"/>
      <c r="R36" s="48"/>
      <c r="S36" s="48"/>
      <c r="T36" s="79"/>
    </row>
    <row r="37" spans="2:20" ht="11.1" customHeight="1" x14ac:dyDescent="0.2">
      <c r="B37" s="174" t="s">
        <v>59</v>
      </c>
      <c r="C37" s="247"/>
      <c r="D37" s="244" t="s">
        <v>194</v>
      </c>
      <c r="E37" s="244" t="s">
        <v>195</v>
      </c>
      <c r="F37" s="244" t="s">
        <v>196</v>
      </c>
      <c r="G37" s="244" t="s">
        <v>197</v>
      </c>
      <c r="H37" s="244" t="s">
        <v>198</v>
      </c>
      <c r="I37" s="244" t="s">
        <v>199</v>
      </c>
      <c r="J37" s="244" t="s">
        <v>200</v>
      </c>
      <c r="L37" s="174" t="s">
        <v>59</v>
      </c>
      <c r="M37" s="247"/>
      <c r="N37" s="244" t="s">
        <v>194</v>
      </c>
      <c r="O37" s="244" t="s">
        <v>195</v>
      </c>
      <c r="P37" s="244" t="s">
        <v>196</v>
      </c>
      <c r="Q37" s="244" t="s">
        <v>197</v>
      </c>
      <c r="R37" s="244" t="s">
        <v>198</v>
      </c>
      <c r="S37" s="244" t="s">
        <v>199</v>
      </c>
      <c r="T37" s="244" t="s">
        <v>200</v>
      </c>
    </row>
    <row r="38" spans="2:20" ht="11.1" customHeight="1" x14ac:dyDescent="0.2">
      <c r="B38" s="248"/>
      <c r="C38" s="249"/>
      <c r="D38" s="245"/>
      <c r="E38" s="245"/>
      <c r="F38" s="245"/>
      <c r="G38" s="245"/>
      <c r="H38" s="245"/>
      <c r="I38" s="245"/>
      <c r="J38" s="245"/>
      <c r="L38" s="248"/>
      <c r="M38" s="249"/>
      <c r="N38" s="245"/>
      <c r="O38" s="245"/>
      <c r="P38" s="245"/>
      <c r="Q38" s="245"/>
      <c r="R38" s="245"/>
      <c r="S38" s="245"/>
      <c r="T38" s="245"/>
    </row>
    <row r="39" spans="2:20" ht="11.1" customHeight="1" x14ac:dyDescent="0.2">
      <c r="B39" s="242" t="s">
        <v>215</v>
      </c>
      <c r="C39" s="243"/>
      <c r="D39" s="243"/>
      <c r="E39" s="243"/>
      <c r="F39" s="243"/>
      <c r="G39" s="243"/>
      <c r="H39" s="73"/>
      <c r="I39" s="73"/>
      <c r="J39" s="80"/>
      <c r="L39" s="242" t="s">
        <v>216</v>
      </c>
      <c r="M39" s="243"/>
      <c r="N39" s="243"/>
      <c r="O39" s="243"/>
      <c r="P39" s="243"/>
      <c r="Q39" s="243"/>
      <c r="R39" s="73"/>
      <c r="S39" s="73"/>
      <c r="T39" s="80"/>
    </row>
    <row r="40" spans="2:20" ht="11.1" customHeight="1" x14ac:dyDescent="0.2">
      <c r="B40" s="241" t="s">
        <v>202</v>
      </c>
      <c r="C40" s="241"/>
      <c r="D40" s="52">
        <v>270615</v>
      </c>
      <c r="E40" s="52">
        <v>134927</v>
      </c>
      <c r="F40" s="52">
        <v>181171</v>
      </c>
      <c r="G40" s="52"/>
      <c r="H40" s="52">
        <f t="shared" ref="H40:H51" si="19">SUM(D40:G40)</f>
        <v>586713</v>
      </c>
      <c r="I40" s="52">
        <v>13967</v>
      </c>
      <c r="J40" s="52">
        <f>H40+I40</f>
        <v>600680</v>
      </c>
      <c r="L40" s="241" t="s">
        <v>202</v>
      </c>
      <c r="M40" s="241"/>
      <c r="N40" s="52">
        <f t="shared" ref="N40:Q41" si="20">D40-D23</f>
        <v>96016</v>
      </c>
      <c r="O40" s="52">
        <f t="shared" si="20"/>
        <v>40758</v>
      </c>
      <c r="P40" s="52">
        <f t="shared" si="20"/>
        <v>65403</v>
      </c>
      <c r="Q40" s="52">
        <f t="shared" si="20"/>
        <v>0</v>
      </c>
      <c r="R40" s="52">
        <f>SUM(N40:Q40)</f>
        <v>202177</v>
      </c>
      <c r="S40" s="52">
        <f>I40-I23</f>
        <v>2427</v>
      </c>
      <c r="T40" s="52">
        <f t="shared" ref="T40:T51" si="21">R40+S40</f>
        <v>204604</v>
      </c>
    </row>
    <row r="41" spans="2:20" ht="11.1" customHeight="1" x14ac:dyDescent="0.2">
      <c r="B41" s="241" t="s">
        <v>33</v>
      </c>
      <c r="C41" s="241"/>
      <c r="D41" s="52">
        <v>189787</v>
      </c>
      <c r="E41" s="52">
        <v>102925</v>
      </c>
      <c r="F41" s="52">
        <v>107647</v>
      </c>
      <c r="G41" s="52"/>
      <c r="H41" s="52">
        <f t="shared" si="19"/>
        <v>400359</v>
      </c>
      <c r="I41" s="52">
        <v>12525</v>
      </c>
      <c r="J41" s="52">
        <f t="shared" ref="J41:J51" si="22">H41+I41</f>
        <v>412884</v>
      </c>
      <c r="L41" s="241" t="s">
        <v>33</v>
      </c>
      <c r="M41" s="241"/>
      <c r="N41" s="52">
        <f t="shared" si="20"/>
        <v>68349</v>
      </c>
      <c r="O41" s="52">
        <f t="shared" si="20"/>
        <v>32788</v>
      </c>
      <c r="P41" s="52">
        <f t="shared" si="20"/>
        <v>38024</v>
      </c>
      <c r="Q41" s="52">
        <f t="shared" si="20"/>
        <v>0</v>
      </c>
      <c r="R41" s="52">
        <f t="shared" ref="R41:R51" si="23">SUM(N41:Q41)</f>
        <v>139161</v>
      </c>
      <c r="S41" s="52">
        <f>I41-I24</f>
        <v>2143</v>
      </c>
      <c r="T41" s="52">
        <f t="shared" si="21"/>
        <v>141304</v>
      </c>
    </row>
    <row r="42" spans="2:20" ht="11.1" customHeight="1" x14ac:dyDescent="0.2">
      <c r="B42" s="238" t="s">
        <v>203</v>
      </c>
      <c r="C42" s="238"/>
      <c r="D42" s="49">
        <f>D40-D41</f>
        <v>80828</v>
      </c>
      <c r="E42" s="49">
        <f>E40-E41</f>
        <v>32002</v>
      </c>
      <c r="F42" s="49">
        <f>F40-F41</f>
        <v>73524</v>
      </c>
      <c r="G42" s="49">
        <f>G40-G41</f>
        <v>0</v>
      </c>
      <c r="H42" s="49">
        <f t="shared" si="19"/>
        <v>186354</v>
      </c>
      <c r="I42" s="49">
        <f>I40-I41</f>
        <v>1442</v>
      </c>
      <c r="J42" s="49">
        <f t="shared" si="22"/>
        <v>187796</v>
      </c>
      <c r="L42" s="238" t="s">
        <v>203</v>
      </c>
      <c r="M42" s="238"/>
      <c r="N42" s="49">
        <f>N40-N41</f>
        <v>27667</v>
      </c>
      <c r="O42" s="49">
        <f>O40-O41</f>
        <v>7970</v>
      </c>
      <c r="P42" s="49">
        <f>P40-P41</f>
        <v>27379</v>
      </c>
      <c r="Q42" s="49">
        <f>Q40-Q41</f>
        <v>0</v>
      </c>
      <c r="R42" s="49">
        <f t="shared" si="23"/>
        <v>63016</v>
      </c>
      <c r="S42" s="49">
        <f>S40-S41</f>
        <v>284</v>
      </c>
      <c r="T42" s="49">
        <f t="shared" si="21"/>
        <v>63300</v>
      </c>
    </row>
    <row r="43" spans="2:20" ht="11.1" customHeight="1" x14ac:dyDescent="0.2">
      <c r="B43" s="171" t="s">
        <v>4</v>
      </c>
      <c r="C43" s="172"/>
      <c r="D43" s="52">
        <v>12333</v>
      </c>
      <c r="E43" s="52">
        <v>4339</v>
      </c>
      <c r="F43" s="52">
        <v>11945</v>
      </c>
      <c r="G43" s="52">
        <v>180</v>
      </c>
      <c r="H43" s="52">
        <f t="shared" si="19"/>
        <v>28797</v>
      </c>
      <c r="I43" s="52">
        <v>168</v>
      </c>
      <c r="J43" s="52">
        <f t="shared" si="22"/>
        <v>28965</v>
      </c>
      <c r="L43" s="171" t="s">
        <v>4</v>
      </c>
      <c r="M43" s="172"/>
      <c r="N43" s="52">
        <f t="shared" ref="N43:Q44" si="24">D43-D26</f>
        <v>3991</v>
      </c>
      <c r="O43" s="52">
        <f t="shared" si="24"/>
        <v>1691</v>
      </c>
      <c r="P43" s="52">
        <f t="shared" si="24"/>
        <v>4418</v>
      </c>
      <c r="Q43" s="52">
        <f t="shared" si="24"/>
        <v>60</v>
      </c>
      <c r="R43" s="52">
        <f t="shared" si="23"/>
        <v>10160</v>
      </c>
      <c r="S43" s="52">
        <f>I43-I26</f>
        <v>58</v>
      </c>
      <c r="T43" s="52">
        <f t="shared" si="21"/>
        <v>10218</v>
      </c>
    </row>
    <row r="44" spans="2:20" ht="11.1" customHeight="1" x14ac:dyDescent="0.2">
      <c r="B44" s="171" t="s">
        <v>5</v>
      </c>
      <c r="C44" s="172"/>
      <c r="D44" s="52">
        <v>42515</v>
      </c>
      <c r="E44" s="52">
        <v>16812</v>
      </c>
      <c r="F44" s="52">
        <v>25942</v>
      </c>
      <c r="G44" s="52">
        <v>2537</v>
      </c>
      <c r="H44" s="52">
        <f t="shared" si="19"/>
        <v>87806</v>
      </c>
      <c r="I44" s="52"/>
      <c r="J44" s="52">
        <f t="shared" si="22"/>
        <v>87806</v>
      </c>
      <c r="L44" s="171" t="s">
        <v>5</v>
      </c>
      <c r="M44" s="172"/>
      <c r="N44" s="52">
        <f t="shared" si="24"/>
        <v>13302</v>
      </c>
      <c r="O44" s="52">
        <f t="shared" si="24"/>
        <v>5418</v>
      </c>
      <c r="P44" s="52">
        <f t="shared" si="24"/>
        <v>8997</v>
      </c>
      <c r="Q44" s="52">
        <f t="shared" si="24"/>
        <v>1188.56</v>
      </c>
      <c r="R44" s="52">
        <f t="shared" si="23"/>
        <v>28905.56</v>
      </c>
      <c r="S44" s="52">
        <f>I44-I27</f>
        <v>-210</v>
      </c>
      <c r="T44" s="52">
        <f t="shared" si="21"/>
        <v>28695.56</v>
      </c>
    </row>
    <row r="45" spans="2:20" ht="11.1" customHeight="1" x14ac:dyDescent="0.2">
      <c r="B45" s="238" t="s">
        <v>204</v>
      </c>
      <c r="C45" s="238"/>
      <c r="D45" s="49">
        <f>D42-D43-D44</f>
        <v>25980</v>
      </c>
      <c r="E45" s="49">
        <f>E42-E43-E44</f>
        <v>10851</v>
      </c>
      <c r="F45" s="49">
        <f>F42-F43-F44</f>
        <v>35637</v>
      </c>
      <c r="G45" s="49">
        <f>G42-G43-G44</f>
        <v>-2717</v>
      </c>
      <c r="H45" s="49">
        <f t="shared" si="19"/>
        <v>69751</v>
      </c>
      <c r="I45" s="49">
        <f>I42-I43-I44</f>
        <v>1274</v>
      </c>
      <c r="J45" s="49">
        <f t="shared" si="22"/>
        <v>71025</v>
      </c>
      <c r="L45" s="238" t="s">
        <v>204</v>
      </c>
      <c r="M45" s="238"/>
      <c r="N45" s="49">
        <f>N42-N43-N44</f>
        <v>10374</v>
      </c>
      <c r="O45" s="49">
        <f>O42-O43-O44</f>
        <v>861</v>
      </c>
      <c r="P45" s="49">
        <f>P42-P43-P44</f>
        <v>13964</v>
      </c>
      <c r="Q45" s="49">
        <f>Q42-Q43-Q44</f>
        <v>-1248.56</v>
      </c>
      <c r="R45" s="49">
        <f t="shared" si="23"/>
        <v>23950.44</v>
      </c>
      <c r="S45" s="49">
        <f>S42-S43-S44</f>
        <v>436</v>
      </c>
      <c r="T45" s="49">
        <f t="shared" si="21"/>
        <v>24386.44</v>
      </c>
    </row>
    <row r="46" spans="2:20" ht="11.1" customHeight="1" x14ac:dyDescent="0.2">
      <c r="B46" s="171" t="s">
        <v>205</v>
      </c>
      <c r="C46" s="172"/>
      <c r="D46" s="52">
        <v>-2804</v>
      </c>
      <c r="E46" s="52">
        <v>151</v>
      </c>
      <c r="F46" s="52">
        <v>-558</v>
      </c>
      <c r="G46" s="52">
        <v>846</v>
      </c>
      <c r="H46" s="52">
        <f t="shared" si="19"/>
        <v>-2365</v>
      </c>
      <c r="I46" s="52">
        <v>0</v>
      </c>
      <c r="J46" s="52">
        <f t="shared" si="22"/>
        <v>-2365</v>
      </c>
      <c r="L46" s="171" t="s">
        <v>205</v>
      </c>
      <c r="M46" s="172"/>
      <c r="N46" s="52">
        <f t="shared" ref="N46:Q48" si="25">D46-D29</f>
        <v>-2042</v>
      </c>
      <c r="O46" s="52">
        <f t="shared" si="25"/>
        <v>130</v>
      </c>
      <c r="P46" s="52">
        <f t="shared" si="25"/>
        <v>277</v>
      </c>
      <c r="Q46" s="52">
        <f t="shared" si="25"/>
        <v>846</v>
      </c>
      <c r="R46" s="52">
        <f t="shared" si="23"/>
        <v>-789</v>
      </c>
      <c r="S46" s="52">
        <f>I46-I29</f>
        <v>0</v>
      </c>
      <c r="T46" s="52">
        <f t="shared" si="21"/>
        <v>-789</v>
      </c>
    </row>
    <row r="47" spans="2:20" ht="11.1" customHeight="1" x14ac:dyDescent="0.2">
      <c r="B47" s="180" t="s">
        <v>206</v>
      </c>
      <c r="C47" s="172"/>
      <c r="D47" s="52">
        <v>0</v>
      </c>
      <c r="E47" s="52">
        <v>13</v>
      </c>
      <c r="F47" s="52">
        <v>921</v>
      </c>
      <c r="G47" s="52">
        <v>-1</v>
      </c>
      <c r="H47" s="52">
        <f t="shared" si="19"/>
        <v>933</v>
      </c>
      <c r="I47" s="52"/>
      <c r="J47" s="52">
        <f t="shared" si="22"/>
        <v>933</v>
      </c>
      <c r="L47" s="180" t="s">
        <v>206</v>
      </c>
      <c r="M47" s="172"/>
      <c r="N47" s="52">
        <f t="shared" si="25"/>
        <v>0</v>
      </c>
      <c r="O47" s="52">
        <f t="shared" si="25"/>
        <v>0</v>
      </c>
      <c r="P47" s="52">
        <f t="shared" si="25"/>
        <v>481</v>
      </c>
      <c r="Q47" s="52">
        <f t="shared" si="25"/>
        <v>-1</v>
      </c>
      <c r="R47" s="52">
        <f t="shared" si="23"/>
        <v>480</v>
      </c>
      <c r="S47" s="52">
        <f>I47-I30</f>
        <v>0</v>
      </c>
      <c r="T47" s="52">
        <f t="shared" si="21"/>
        <v>480</v>
      </c>
    </row>
    <row r="48" spans="2:20" ht="11.1" customHeight="1" x14ac:dyDescent="0.2">
      <c r="B48" s="180" t="s">
        <v>27</v>
      </c>
      <c r="C48" s="172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180" t="s">
        <v>27</v>
      </c>
      <c r="M48" s="172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38" t="s">
        <v>207</v>
      </c>
      <c r="C49" s="238"/>
      <c r="D49" s="49">
        <f>D45+D46+D47+D48</f>
        <v>23176</v>
      </c>
      <c r="E49" s="49">
        <f>E45+E46+E47+E48</f>
        <v>11015</v>
      </c>
      <c r="F49" s="49">
        <f>F45+F46+F47+F48</f>
        <v>36000</v>
      </c>
      <c r="G49" s="49">
        <f>G45+G46+G47+G48</f>
        <v>-1872</v>
      </c>
      <c r="H49" s="49">
        <f t="shared" si="19"/>
        <v>68319</v>
      </c>
      <c r="I49" s="49">
        <f>I45+I46+I48</f>
        <v>1274</v>
      </c>
      <c r="J49" s="49">
        <f t="shared" si="22"/>
        <v>69593</v>
      </c>
      <c r="L49" s="238" t="s">
        <v>207</v>
      </c>
      <c r="M49" s="238"/>
      <c r="N49" s="49">
        <f t="shared" ref="N49:Q49" si="26">N45+N46+N47+N48</f>
        <v>8332</v>
      </c>
      <c r="O49" s="49">
        <f t="shared" si="26"/>
        <v>991</v>
      </c>
      <c r="P49" s="49">
        <f t="shared" si="26"/>
        <v>14722</v>
      </c>
      <c r="Q49" s="49">
        <f t="shared" si="26"/>
        <v>-403.55999999999995</v>
      </c>
      <c r="R49" s="49">
        <f t="shared" si="23"/>
        <v>23641.439999999999</v>
      </c>
      <c r="S49" s="49">
        <f>S45+S46+S48</f>
        <v>436</v>
      </c>
      <c r="T49" s="49">
        <f t="shared" si="21"/>
        <v>24077.439999999999</v>
      </c>
    </row>
    <row r="50" spans="2:20" ht="11.1" customHeight="1" x14ac:dyDescent="0.2">
      <c r="B50" s="75" t="s">
        <v>22</v>
      </c>
      <c r="C50" s="76"/>
      <c r="D50" s="49">
        <v>15741</v>
      </c>
      <c r="E50" s="49">
        <v>9189</v>
      </c>
      <c r="F50" s="49">
        <v>5805</v>
      </c>
      <c r="G50" s="49">
        <v>201</v>
      </c>
      <c r="H50" s="49">
        <f t="shared" si="19"/>
        <v>30936</v>
      </c>
      <c r="I50" s="49">
        <v>0</v>
      </c>
      <c r="J50" s="49">
        <f t="shared" si="22"/>
        <v>30936</v>
      </c>
      <c r="L50" s="75" t="s">
        <v>22</v>
      </c>
      <c r="M50" s="76"/>
      <c r="N50" s="49">
        <f>D50-D33</f>
        <v>5307</v>
      </c>
      <c r="O50" s="49">
        <f>E50-E33</f>
        <v>3126</v>
      </c>
      <c r="P50" s="49">
        <f>F50-F33</f>
        <v>1926</v>
      </c>
      <c r="Q50" s="49">
        <f>G50-G33</f>
        <v>201</v>
      </c>
      <c r="R50" s="49">
        <f t="shared" si="23"/>
        <v>10560</v>
      </c>
      <c r="S50" s="49">
        <f>I50-I33</f>
        <v>0</v>
      </c>
      <c r="T50" s="49">
        <f t="shared" si="21"/>
        <v>10560</v>
      </c>
    </row>
    <row r="51" spans="2:20" ht="11.1" customHeight="1" x14ac:dyDescent="0.2">
      <c r="B51" s="239" t="s">
        <v>23</v>
      </c>
      <c r="C51" s="240"/>
      <c r="D51" s="49">
        <f>D49+D50</f>
        <v>38917</v>
      </c>
      <c r="E51" s="49">
        <f t="shared" ref="E51:G51" si="27">E49+E50</f>
        <v>20204</v>
      </c>
      <c r="F51" s="49">
        <f t="shared" si="27"/>
        <v>41805</v>
      </c>
      <c r="G51" s="49">
        <f t="shared" si="27"/>
        <v>-1671</v>
      </c>
      <c r="H51" s="49">
        <f t="shared" si="19"/>
        <v>99255</v>
      </c>
      <c r="I51" s="49">
        <f t="shared" ref="I51" si="28">I49+I50</f>
        <v>1274</v>
      </c>
      <c r="J51" s="49">
        <f t="shared" si="22"/>
        <v>100529</v>
      </c>
      <c r="L51" s="239" t="s">
        <v>23</v>
      </c>
      <c r="M51" s="240"/>
      <c r="N51" s="49">
        <f>N49+N50</f>
        <v>13639</v>
      </c>
      <c r="O51" s="49">
        <f t="shared" ref="O51:Q51" si="29">O49+O50</f>
        <v>4117</v>
      </c>
      <c r="P51" s="49">
        <f t="shared" si="29"/>
        <v>16648</v>
      </c>
      <c r="Q51" s="49">
        <f t="shared" si="29"/>
        <v>-202.55999999999995</v>
      </c>
      <c r="R51" s="49">
        <f t="shared" si="23"/>
        <v>34201.440000000002</v>
      </c>
      <c r="S51" s="49">
        <f>S49+S50</f>
        <v>436</v>
      </c>
      <c r="T51" s="49">
        <f t="shared" si="21"/>
        <v>34637.440000000002</v>
      </c>
    </row>
    <row r="52" spans="2:20" ht="11.1" customHeight="1" x14ac:dyDescent="0.2">
      <c r="B52" s="48" t="s">
        <v>193</v>
      </c>
      <c r="C52" s="72"/>
      <c r="D52" s="48"/>
      <c r="E52" s="48"/>
      <c r="F52" s="48"/>
      <c r="G52" s="48"/>
      <c r="H52" s="48"/>
      <c r="I52" s="48"/>
      <c r="J52" s="79"/>
      <c r="L52" s="48" t="s">
        <v>193</v>
      </c>
      <c r="M52" s="72"/>
      <c r="N52" s="48"/>
      <c r="O52" s="48"/>
      <c r="P52" s="48"/>
      <c r="Q52" s="48"/>
      <c r="R52" s="48"/>
      <c r="S52" s="48"/>
      <c r="T52" s="79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79"/>
      <c r="L53" s="48"/>
      <c r="M53" s="72"/>
      <c r="N53" s="48"/>
      <c r="O53" s="48"/>
      <c r="P53" s="48"/>
      <c r="Q53" s="48"/>
      <c r="R53" s="48"/>
      <c r="S53" s="48"/>
      <c r="T53" s="79"/>
    </row>
    <row r="54" spans="2:20" ht="11.1" customHeight="1" x14ac:dyDescent="0.2">
      <c r="B54" s="174" t="s">
        <v>59</v>
      </c>
      <c r="C54" s="247"/>
      <c r="D54" s="244" t="s">
        <v>194</v>
      </c>
      <c r="E54" s="244" t="s">
        <v>195</v>
      </c>
      <c r="F54" s="244" t="s">
        <v>196</v>
      </c>
      <c r="G54" s="244" t="s">
        <v>197</v>
      </c>
      <c r="H54" s="244" t="s">
        <v>198</v>
      </c>
      <c r="I54" s="244" t="s">
        <v>199</v>
      </c>
      <c r="J54" s="244" t="s">
        <v>200</v>
      </c>
      <c r="L54" s="174" t="s">
        <v>59</v>
      </c>
      <c r="M54" s="247"/>
      <c r="N54" s="244" t="s">
        <v>194</v>
      </c>
      <c r="O54" s="244" t="s">
        <v>195</v>
      </c>
      <c r="P54" s="244" t="s">
        <v>196</v>
      </c>
      <c r="Q54" s="244" t="s">
        <v>197</v>
      </c>
      <c r="R54" s="244" t="s">
        <v>198</v>
      </c>
      <c r="S54" s="244" t="s">
        <v>199</v>
      </c>
      <c r="T54" s="244" t="s">
        <v>200</v>
      </c>
    </row>
    <row r="55" spans="2:20" ht="11.1" customHeight="1" x14ac:dyDescent="0.2">
      <c r="B55" s="248"/>
      <c r="C55" s="249"/>
      <c r="D55" s="245"/>
      <c r="E55" s="245"/>
      <c r="F55" s="245"/>
      <c r="G55" s="245"/>
      <c r="H55" s="245"/>
      <c r="I55" s="245"/>
      <c r="J55" s="246"/>
      <c r="L55" s="248"/>
      <c r="M55" s="249"/>
      <c r="N55" s="245"/>
      <c r="O55" s="245"/>
      <c r="P55" s="245"/>
      <c r="Q55" s="245"/>
      <c r="R55" s="245"/>
      <c r="S55" s="245"/>
      <c r="T55" s="246"/>
    </row>
    <row r="56" spans="2:20" ht="11.1" customHeight="1" x14ac:dyDescent="0.2">
      <c r="B56" s="242" t="s">
        <v>219</v>
      </c>
      <c r="C56" s="243"/>
      <c r="D56" s="243"/>
      <c r="E56" s="243"/>
      <c r="F56" s="243"/>
      <c r="G56" s="243"/>
      <c r="H56" s="73"/>
      <c r="I56" s="73"/>
      <c r="J56" s="80"/>
      <c r="L56" s="242" t="s">
        <v>220</v>
      </c>
      <c r="M56" s="243"/>
      <c r="N56" s="243"/>
      <c r="O56" s="243"/>
      <c r="P56" s="243"/>
      <c r="Q56" s="243"/>
      <c r="R56" s="73"/>
      <c r="S56" s="73"/>
      <c r="T56" s="80"/>
    </row>
    <row r="57" spans="2:20" ht="11.1" customHeight="1" x14ac:dyDescent="0.2">
      <c r="B57" s="241" t="s">
        <v>202</v>
      </c>
      <c r="C57" s="241"/>
      <c r="D57" s="52">
        <v>385922</v>
      </c>
      <c r="E57" s="52">
        <v>183536</v>
      </c>
      <c r="F57" s="52">
        <v>258344</v>
      </c>
      <c r="G57" s="52"/>
      <c r="H57" s="52">
        <f t="shared" ref="H57:H68" si="30">SUM(D57:G57)</f>
        <v>827802</v>
      </c>
      <c r="I57" s="52">
        <v>16241</v>
      </c>
      <c r="J57" s="52">
        <f>H57+I57</f>
        <v>844043</v>
      </c>
      <c r="L57" s="241" t="s">
        <v>202</v>
      </c>
      <c r="M57" s="241"/>
      <c r="N57" s="52">
        <f t="shared" ref="N57:Q58" si="31">D57-D40</f>
        <v>115307</v>
      </c>
      <c r="O57" s="52">
        <f t="shared" si="31"/>
        <v>48609</v>
      </c>
      <c r="P57" s="52">
        <f t="shared" si="31"/>
        <v>77173</v>
      </c>
      <c r="Q57" s="52">
        <f t="shared" si="31"/>
        <v>0</v>
      </c>
      <c r="R57" s="52">
        <f>SUM(N57:Q57)</f>
        <v>241089</v>
      </c>
      <c r="S57" s="52">
        <f>I57-I40</f>
        <v>2274</v>
      </c>
      <c r="T57" s="52">
        <f t="shared" ref="T57:T68" si="32">R57+S57</f>
        <v>243363</v>
      </c>
    </row>
    <row r="58" spans="2:20" ht="11.1" customHeight="1" x14ac:dyDescent="0.2">
      <c r="B58" s="241" t="s">
        <v>33</v>
      </c>
      <c r="C58" s="241"/>
      <c r="D58" s="52">
        <v>266876</v>
      </c>
      <c r="E58" s="52">
        <v>142552</v>
      </c>
      <c r="F58" s="52">
        <v>159469</v>
      </c>
      <c r="G58" s="52"/>
      <c r="H58" s="52">
        <f t="shared" si="30"/>
        <v>568897</v>
      </c>
      <c r="I58" s="52">
        <v>14619</v>
      </c>
      <c r="J58" s="52">
        <f t="shared" ref="J58:J68" si="33">H58+I58</f>
        <v>583516</v>
      </c>
      <c r="L58" s="241" t="s">
        <v>33</v>
      </c>
      <c r="M58" s="241"/>
      <c r="N58" s="52">
        <f t="shared" si="31"/>
        <v>77089</v>
      </c>
      <c r="O58" s="52">
        <f t="shared" si="31"/>
        <v>39627</v>
      </c>
      <c r="P58" s="52">
        <f t="shared" si="31"/>
        <v>51822</v>
      </c>
      <c r="Q58" s="52">
        <f t="shared" si="31"/>
        <v>0</v>
      </c>
      <c r="R58" s="52">
        <f t="shared" ref="R58:R68" si="34">SUM(N58:Q58)</f>
        <v>168538</v>
      </c>
      <c r="S58" s="52">
        <f>I58-I41</f>
        <v>2094</v>
      </c>
      <c r="T58" s="52">
        <f t="shared" si="32"/>
        <v>170632</v>
      </c>
    </row>
    <row r="59" spans="2:20" ht="11.1" customHeight="1" x14ac:dyDescent="0.2">
      <c r="B59" s="238" t="s">
        <v>203</v>
      </c>
      <c r="C59" s="238"/>
      <c r="D59" s="49">
        <f>D57-D58</f>
        <v>119046</v>
      </c>
      <c r="E59" s="49">
        <f>E57-E58</f>
        <v>40984</v>
      </c>
      <c r="F59" s="49">
        <f>F57-F58</f>
        <v>98875</v>
      </c>
      <c r="G59" s="49">
        <f>G57-G58</f>
        <v>0</v>
      </c>
      <c r="H59" s="49">
        <f t="shared" si="30"/>
        <v>258905</v>
      </c>
      <c r="I59" s="49">
        <f>I57-I58</f>
        <v>1622</v>
      </c>
      <c r="J59" s="49">
        <f t="shared" si="33"/>
        <v>260527</v>
      </c>
      <c r="L59" s="238" t="s">
        <v>203</v>
      </c>
      <c r="M59" s="238"/>
      <c r="N59" s="49">
        <f>N57-N58</f>
        <v>38218</v>
      </c>
      <c r="O59" s="49">
        <f>O57-O58</f>
        <v>8982</v>
      </c>
      <c r="P59" s="49">
        <f>P57-P58</f>
        <v>25351</v>
      </c>
      <c r="Q59" s="49">
        <f>Q57-Q58</f>
        <v>0</v>
      </c>
      <c r="R59" s="49">
        <f t="shared" si="34"/>
        <v>72551</v>
      </c>
      <c r="S59" s="49">
        <f>S57-S58</f>
        <v>180</v>
      </c>
      <c r="T59" s="49">
        <f t="shared" si="32"/>
        <v>72731</v>
      </c>
    </row>
    <row r="60" spans="2:20" ht="11.1" customHeight="1" x14ac:dyDescent="0.2">
      <c r="B60" s="171" t="s">
        <v>4</v>
      </c>
      <c r="C60" s="172"/>
      <c r="D60" s="52">
        <v>17308</v>
      </c>
      <c r="E60" s="52">
        <v>5903</v>
      </c>
      <c r="F60" s="52">
        <v>18572</v>
      </c>
      <c r="G60" s="52">
        <v>240</v>
      </c>
      <c r="H60" s="52">
        <f t="shared" si="30"/>
        <v>42023</v>
      </c>
      <c r="I60" s="52">
        <v>218</v>
      </c>
      <c r="J60" s="52">
        <f t="shared" si="33"/>
        <v>42241</v>
      </c>
      <c r="L60" s="171" t="s">
        <v>4</v>
      </c>
      <c r="M60" s="172"/>
      <c r="N60" s="52">
        <f t="shared" ref="N60:Q61" si="35">D60-D43</f>
        <v>4975</v>
      </c>
      <c r="O60" s="52">
        <f t="shared" si="35"/>
        <v>1564</v>
      </c>
      <c r="P60" s="52">
        <f t="shared" si="35"/>
        <v>6627</v>
      </c>
      <c r="Q60" s="52">
        <f t="shared" si="35"/>
        <v>60</v>
      </c>
      <c r="R60" s="52">
        <f t="shared" si="34"/>
        <v>13226</v>
      </c>
      <c r="S60" s="52">
        <f>I60-I43</f>
        <v>50</v>
      </c>
      <c r="T60" s="52">
        <f t="shared" si="32"/>
        <v>13276</v>
      </c>
    </row>
    <row r="61" spans="2:20" ht="11.1" customHeight="1" x14ac:dyDescent="0.2">
      <c r="B61" s="171" t="s">
        <v>5</v>
      </c>
      <c r="C61" s="172"/>
      <c r="D61" s="52">
        <v>57631</v>
      </c>
      <c r="E61" s="52">
        <v>22123</v>
      </c>
      <c r="F61" s="52">
        <v>36779</v>
      </c>
      <c r="G61" s="52">
        <f>2580+899</f>
        <v>3479</v>
      </c>
      <c r="H61" s="52">
        <f t="shared" si="30"/>
        <v>120012</v>
      </c>
      <c r="I61" s="52">
        <v>0</v>
      </c>
      <c r="J61" s="52">
        <f t="shared" si="33"/>
        <v>120012</v>
      </c>
      <c r="L61" s="171" t="s">
        <v>5</v>
      </c>
      <c r="M61" s="172"/>
      <c r="N61" s="52">
        <f t="shared" si="35"/>
        <v>15116</v>
      </c>
      <c r="O61" s="52">
        <f t="shared" si="35"/>
        <v>5311</v>
      </c>
      <c r="P61" s="52">
        <f t="shared" si="35"/>
        <v>10837</v>
      </c>
      <c r="Q61" s="52">
        <f t="shared" si="35"/>
        <v>942</v>
      </c>
      <c r="R61" s="52">
        <f t="shared" si="34"/>
        <v>32206</v>
      </c>
      <c r="S61" s="52">
        <f>I61-I44</f>
        <v>0</v>
      </c>
      <c r="T61" s="52">
        <f t="shared" si="32"/>
        <v>32206</v>
      </c>
    </row>
    <row r="62" spans="2:20" ht="11.1" customHeight="1" x14ac:dyDescent="0.2">
      <c r="B62" s="238" t="s">
        <v>204</v>
      </c>
      <c r="C62" s="238"/>
      <c r="D62" s="49">
        <f>D59-D60-D61</f>
        <v>44107</v>
      </c>
      <c r="E62" s="49">
        <f>E59-E60-E61</f>
        <v>12958</v>
      </c>
      <c r="F62" s="49">
        <f>F59-F60-F61</f>
        <v>43524</v>
      </c>
      <c r="G62" s="49">
        <f>G59-G60-G61</f>
        <v>-3719</v>
      </c>
      <c r="H62" s="49">
        <f t="shared" si="30"/>
        <v>96870</v>
      </c>
      <c r="I62" s="49">
        <f>I59-I60-I61</f>
        <v>1404</v>
      </c>
      <c r="J62" s="49">
        <f t="shared" si="33"/>
        <v>98274</v>
      </c>
      <c r="L62" s="238" t="s">
        <v>204</v>
      </c>
      <c r="M62" s="238"/>
      <c r="N62" s="49">
        <f>N59-N60-N61</f>
        <v>18127</v>
      </c>
      <c r="O62" s="49">
        <f>O59-O60-O61</f>
        <v>2107</v>
      </c>
      <c r="P62" s="49">
        <f>P59-P60-P61</f>
        <v>7887</v>
      </c>
      <c r="Q62" s="49">
        <f>Q59-Q60-Q61</f>
        <v>-1002</v>
      </c>
      <c r="R62" s="49">
        <f t="shared" si="34"/>
        <v>27119</v>
      </c>
      <c r="S62" s="49">
        <f>S59-S60-S61</f>
        <v>130</v>
      </c>
      <c r="T62" s="49">
        <f t="shared" si="32"/>
        <v>27249</v>
      </c>
    </row>
    <row r="63" spans="2:20" ht="11.1" customHeight="1" x14ac:dyDescent="0.2">
      <c r="B63" s="171" t="s">
        <v>205</v>
      </c>
      <c r="C63" s="172"/>
      <c r="D63" s="52">
        <v>-6162</v>
      </c>
      <c r="E63" s="52">
        <v>589</v>
      </c>
      <c r="F63" s="52">
        <v>-2485</v>
      </c>
      <c r="G63" s="52">
        <v>971</v>
      </c>
      <c r="H63" s="52">
        <f t="shared" si="30"/>
        <v>-7087</v>
      </c>
      <c r="I63" s="52"/>
      <c r="J63" s="52">
        <f t="shared" si="33"/>
        <v>-7087</v>
      </c>
      <c r="L63" s="171" t="s">
        <v>205</v>
      </c>
      <c r="M63" s="172"/>
      <c r="N63" s="52">
        <f t="shared" ref="N63:Q65" si="36">D63-D46</f>
        <v>-3358</v>
      </c>
      <c r="O63" s="52">
        <f t="shared" si="36"/>
        <v>438</v>
      </c>
      <c r="P63" s="52">
        <f t="shared" si="36"/>
        <v>-1927</v>
      </c>
      <c r="Q63" s="52">
        <f t="shared" si="36"/>
        <v>125</v>
      </c>
      <c r="R63" s="52">
        <f t="shared" si="34"/>
        <v>-4722</v>
      </c>
      <c r="S63" s="52">
        <f>I63-I46</f>
        <v>0</v>
      </c>
      <c r="T63" s="52">
        <f t="shared" si="32"/>
        <v>-4722</v>
      </c>
    </row>
    <row r="64" spans="2:20" ht="11.1" customHeight="1" x14ac:dyDescent="0.2">
      <c r="B64" s="180" t="s">
        <v>206</v>
      </c>
      <c r="C64" s="172"/>
      <c r="D64" s="52"/>
      <c r="E64" s="52">
        <v>22</v>
      </c>
      <c r="F64" s="52">
        <v>1320</v>
      </c>
      <c r="G64" s="52"/>
      <c r="H64" s="52">
        <f t="shared" si="30"/>
        <v>1342</v>
      </c>
      <c r="I64" s="52"/>
      <c r="J64" s="52">
        <f t="shared" si="33"/>
        <v>1342</v>
      </c>
      <c r="L64" s="180" t="s">
        <v>206</v>
      </c>
      <c r="M64" s="172"/>
      <c r="N64" s="52">
        <f t="shared" si="36"/>
        <v>0</v>
      </c>
      <c r="O64" s="52">
        <f t="shared" si="36"/>
        <v>9</v>
      </c>
      <c r="P64" s="52">
        <f t="shared" si="36"/>
        <v>399</v>
      </c>
      <c r="Q64" s="52">
        <f t="shared" si="36"/>
        <v>1</v>
      </c>
      <c r="R64" s="52">
        <f t="shared" si="34"/>
        <v>409</v>
      </c>
      <c r="S64" s="52">
        <f>I64-I47</f>
        <v>0</v>
      </c>
      <c r="T64" s="52">
        <f t="shared" si="32"/>
        <v>409</v>
      </c>
    </row>
    <row r="65" spans="2:20" ht="11.1" customHeight="1" x14ac:dyDescent="0.2">
      <c r="B65" s="180" t="s">
        <v>27</v>
      </c>
      <c r="C65" s="172"/>
      <c r="D65" s="52">
        <v>0</v>
      </c>
      <c r="E65" s="52"/>
      <c r="F65" s="52"/>
      <c r="G65" s="52">
        <v>0</v>
      </c>
      <c r="H65" s="52">
        <f t="shared" si="30"/>
        <v>0</v>
      </c>
      <c r="I65" s="52">
        <v>0</v>
      </c>
      <c r="J65" s="52">
        <f t="shared" si="33"/>
        <v>0</v>
      </c>
      <c r="L65" s="180" t="s">
        <v>27</v>
      </c>
      <c r="M65" s="172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38" t="s">
        <v>207</v>
      </c>
      <c r="C66" s="238"/>
      <c r="D66" s="49">
        <f>D62+D63+D64+D65</f>
        <v>37945</v>
      </c>
      <c r="E66" s="49">
        <f>E62+E63+E64+E65</f>
        <v>13569</v>
      </c>
      <c r="F66" s="49">
        <f>F62+F63+F64+F65</f>
        <v>42359</v>
      </c>
      <c r="G66" s="49">
        <f>G62+G63+G64+G65</f>
        <v>-2748</v>
      </c>
      <c r="H66" s="49">
        <f t="shared" si="30"/>
        <v>91125</v>
      </c>
      <c r="I66" s="49">
        <f>I62+I63+I65</f>
        <v>1404</v>
      </c>
      <c r="J66" s="49">
        <f t="shared" si="33"/>
        <v>92529</v>
      </c>
      <c r="L66" s="238" t="s">
        <v>207</v>
      </c>
      <c r="M66" s="238"/>
      <c r="N66" s="49">
        <f t="shared" ref="N66:Q66" si="37">N62+N63+N64+N65</f>
        <v>14769</v>
      </c>
      <c r="O66" s="49">
        <f t="shared" si="37"/>
        <v>2554</v>
      </c>
      <c r="P66" s="49">
        <f t="shared" si="37"/>
        <v>6359</v>
      </c>
      <c r="Q66" s="49">
        <f t="shared" si="37"/>
        <v>-876</v>
      </c>
      <c r="R66" s="49">
        <f t="shared" si="34"/>
        <v>22806</v>
      </c>
      <c r="S66" s="49">
        <f>S62+S63+S65</f>
        <v>130</v>
      </c>
      <c r="T66" s="49">
        <f t="shared" si="32"/>
        <v>22936</v>
      </c>
    </row>
    <row r="67" spans="2:20" ht="11.1" customHeight="1" x14ac:dyDescent="0.2">
      <c r="B67" s="75" t="s">
        <v>22</v>
      </c>
      <c r="C67" s="76"/>
      <c r="D67" s="49">
        <v>21390</v>
      </c>
      <c r="E67" s="49">
        <v>12360</v>
      </c>
      <c r="F67" s="49">
        <v>7777</v>
      </c>
      <c r="G67" s="49">
        <v>255</v>
      </c>
      <c r="H67" s="49">
        <f t="shared" si="30"/>
        <v>41782</v>
      </c>
      <c r="I67" s="49"/>
      <c r="J67" s="49">
        <f t="shared" si="33"/>
        <v>41782</v>
      </c>
      <c r="L67" s="75" t="s">
        <v>22</v>
      </c>
      <c r="M67" s="76"/>
      <c r="N67" s="49">
        <f>D67-D50</f>
        <v>5649</v>
      </c>
      <c r="O67" s="49">
        <f>E67-E50</f>
        <v>3171</v>
      </c>
      <c r="P67" s="49">
        <f>F67-F50</f>
        <v>1972</v>
      </c>
      <c r="Q67" s="49">
        <f>G67-G50</f>
        <v>54</v>
      </c>
      <c r="R67" s="49">
        <f t="shared" si="34"/>
        <v>10846</v>
      </c>
      <c r="S67" s="49">
        <f>I67-I50</f>
        <v>0</v>
      </c>
      <c r="T67" s="49">
        <f t="shared" si="32"/>
        <v>10846</v>
      </c>
    </row>
    <row r="68" spans="2:20" ht="11.1" customHeight="1" x14ac:dyDescent="0.2">
      <c r="B68" s="239" t="s">
        <v>23</v>
      </c>
      <c r="C68" s="240"/>
      <c r="D68" s="49">
        <f>D66+D67</f>
        <v>59335</v>
      </c>
      <c r="E68" s="49">
        <f>E66+E67</f>
        <v>25929</v>
      </c>
      <c r="F68" s="49">
        <f>F66+F67</f>
        <v>50136</v>
      </c>
      <c r="G68" s="49">
        <f>G66+G67</f>
        <v>-2493</v>
      </c>
      <c r="H68" s="49">
        <f t="shared" si="30"/>
        <v>132907</v>
      </c>
      <c r="I68" s="49">
        <f>I66+I67</f>
        <v>1404</v>
      </c>
      <c r="J68" s="49">
        <f t="shared" si="33"/>
        <v>134311</v>
      </c>
      <c r="L68" s="239" t="s">
        <v>23</v>
      </c>
      <c r="M68" s="240"/>
      <c r="N68" s="49">
        <f>N66+N67</f>
        <v>20418</v>
      </c>
      <c r="O68" s="49">
        <f t="shared" ref="O68:Q68" si="38">O66+O67</f>
        <v>5725</v>
      </c>
      <c r="P68" s="49">
        <f t="shared" si="38"/>
        <v>8331</v>
      </c>
      <c r="Q68" s="49">
        <f t="shared" si="38"/>
        <v>-822</v>
      </c>
      <c r="R68" s="49">
        <f t="shared" si="34"/>
        <v>33652</v>
      </c>
      <c r="S68" s="49">
        <f>S66+S67</f>
        <v>130</v>
      </c>
      <c r="T68" s="49">
        <f t="shared" si="32"/>
        <v>33782</v>
      </c>
    </row>
  </sheetData>
  <mergeCells count="160">
    <mergeCell ref="R3:R4"/>
    <mergeCell ref="S3:S4"/>
    <mergeCell ref="T3:T4"/>
    <mergeCell ref="I3:I4"/>
    <mergeCell ref="J3:J4"/>
    <mergeCell ref="L3:M4"/>
    <mergeCell ref="N3:N4"/>
    <mergeCell ref="O3:O4"/>
    <mergeCell ref="P3:P4"/>
    <mergeCell ref="B6:C6"/>
    <mergeCell ref="L6:M6"/>
    <mergeCell ref="B7:C7"/>
    <mergeCell ref="L7:M7"/>
    <mergeCell ref="B8:C8"/>
    <mergeCell ref="L8:M8"/>
    <mergeCell ref="B5:G5"/>
    <mergeCell ref="L5:Q5"/>
    <mergeCell ref="Q3:Q4"/>
    <mergeCell ref="B3:C4"/>
    <mergeCell ref="D3:D4"/>
    <mergeCell ref="E3:E4"/>
    <mergeCell ref="F3:F4"/>
    <mergeCell ref="G3:G4"/>
    <mergeCell ref="H3:H4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15:C15"/>
    <mergeCell ref="L15:M15"/>
    <mergeCell ref="B17:C17"/>
    <mergeCell ref="L17:M17"/>
    <mergeCell ref="B20:C21"/>
    <mergeCell ref="D20:D21"/>
    <mergeCell ref="E20:E21"/>
    <mergeCell ref="F20:F21"/>
    <mergeCell ref="G20:G21"/>
    <mergeCell ref="H20:H21"/>
    <mergeCell ref="R20:R21"/>
    <mergeCell ref="S20:S21"/>
    <mergeCell ref="T20:T21"/>
    <mergeCell ref="I20:I21"/>
    <mergeCell ref="J20:J21"/>
    <mergeCell ref="L20:M21"/>
    <mergeCell ref="N20:N21"/>
    <mergeCell ref="O20:O21"/>
    <mergeCell ref="P20:P21"/>
    <mergeCell ref="B23:C23"/>
    <mergeCell ref="L23:M23"/>
    <mergeCell ref="B24:C24"/>
    <mergeCell ref="L24:M24"/>
    <mergeCell ref="B25:C25"/>
    <mergeCell ref="L25:M25"/>
    <mergeCell ref="B22:G22"/>
    <mergeCell ref="L22:Q22"/>
    <mergeCell ref="Q20:Q21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32:C32"/>
    <mergeCell ref="L32:M32"/>
    <mergeCell ref="B34:C34"/>
    <mergeCell ref="L34:M34"/>
    <mergeCell ref="B37:C38"/>
    <mergeCell ref="D37:D38"/>
    <mergeCell ref="E37:E38"/>
    <mergeCell ref="F37:F38"/>
    <mergeCell ref="G37:G38"/>
    <mergeCell ref="H37:H38"/>
    <mergeCell ref="R37:R38"/>
    <mergeCell ref="S37:S38"/>
    <mergeCell ref="T37:T38"/>
    <mergeCell ref="I37:I38"/>
    <mergeCell ref="J37:J38"/>
    <mergeCell ref="L37:M38"/>
    <mergeCell ref="N37:N38"/>
    <mergeCell ref="O37:O38"/>
    <mergeCell ref="P37:P38"/>
    <mergeCell ref="B40:C40"/>
    <mergeCell ref="L40:M40"/>
    <mergeCell ref="B41:C41"/>
    <mergeCell ref="L41:M41"/>
    <mergeCell ref="B42:C42"/>
    <mergeCell ref="L42:M42"/>
    <mergeCell ref="B39:G39"/>
    <mergeCell ref="L39:Q39"/>
    <mergeCell ref="Q37:Q38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9:C49"/>
    <mergeCell ref="L49:M49"/>
    <mergeCell ref="B51:C51"/>
    <mergeCell ref="L51:M51"/>
    <mergeCell ref="B54:C55"/>
    <mergeCell ref="D54:D55"/>
    <mergeCell ref="E54:E55"/>
    <mergeCell ref="F54:F55"/>
    <mergeCell ref="G54:G55"/>
    <mergeCell ref="H54:H55"/>
    <mergeCell ref="B56:G56"/>
    <mergeCell ref="L56:Q56"/>
    <mergeCell ref="Q54:Q55"/>
    <mergeCell ref="R54:R55"/>
    <mergeCell ref="S54:S55"/>
    <mergeCell ref="T54:T55"/>
    <mergeCell ref="I54:I55"/>
    <mergeCell ref="J54:J55"/>
    <mergeCell ref="L54:M55"/>
    <mergeCell ref="N54:N55"/>
    <mergeCell ref="O54:O55"/>
    <mergeCell ref="P54:P5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4306-C777-449D-A39F-0567D6736F83}">
  <dimension ref="B1:T119"/>
  <sheetViews>
    <sheetView zoomScaleNormal="100" zoomScaleSheetLayoutView="100" workbookViewId="0">
      <pane xSplit="3" ySplit="1" topLeftCell="G74" activePane="bottomRight" state="frozen"/>
      <selection activeCell="D42" sqref="D42:D43"/>
      <selection pane="topRight" activeCell="D42" sqref="D42:D43"/>
      <selection pane="bottomLeft" activeCell="D42" sqref="D42:D43"/>
      <selection pane="bottomRight" sqref="A1:XFD1048576"/>
    </sheetView>
  </sheetViews>
  <sheetFormatPr defaultColWidth="9.140625" defaultRowHeight="11.1" customHeight="1" x14ac:dyDescent="0.2"/>
  <cols>
    <col min="1" max="1" width="2.570312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192</v>
      </c>
      <c r="C1" s="72"/>
      <c r="D1" s="48"/>
      <c r="E1" s="48"/>
      <c r="F1" s="48"/>
      <c r="G1" s="48"/>
      <c r="H1" s="48"/>
      <c r="I1" s="48"/>
      <c r="J1" s="48"/>
      <c r="L1" s="48" t="s">
        <v>192</v>
      </c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174" t="s">
        <v>59</v>
      </c>
      <c r="C2" s="247"/>
      <c r="D2" s="244" t="s">
        <v>194</v>
      </c>
      <c r="E2" s="244" t="s">
        <v>195</v>
      </c>
      <c r="F2" s="244" t="s">
        <v>196</v>
      </c>
      <c r="G2" s="244" t="s">
        <v>197</v>
      </c>
      <c r="H2" s="244" t="s">
        <v>198</v>
      </c>
      <c r="I2" s="244" t="s">
        <v>199</v>
      </c>
      <c r="J2" s="244" t="s">
        <v>200</v>
      </c>
      <c r="K2" s="47"/>
      <c r="L2" s="174" t="s">
        <v>59</v>
      </c>
      <c r="M2" s="247"/>
      <c r="N2" s="244" t="s">
        <v>194</v>
      </c>
      <c r="O2" s="244" t="s">
        <v>195</v>
      </c>
      <c r="P2" s="244" t="s">
        <v>196</v>
      </c>
      <c r="Q2" s="244" t="s">
        <v>197</v>
      </c>
      <c r="R2" s="244" t="s">
        <v>198</v>
      </c>
      <c r="S2" s="244" t="s">
        <v>199</v>
      </c>
      <c r="T2" s="244" t="s">
        <v>200</v>
      </c>
    </row>
    <row r="3" spans="2:20" ht="11.1" customHeight="1" x14ac:dyDescent="0.2">
      <c r="B3" s="248"/>
      <c r="C3" s="249"/>
      <c r="D3" s="245"/>
      <c r="E3" s="245"/>
      <c r="F3" s="245"/>
      <c r="G3" s="245"/>
      <c r="H3" s="245"/>
      <c r="I3" s="245"/>
      <c r="J3" s="246"/>
      <c r="K3" s="47"/>
      <c r="L3" s="248"/>
      <c r="M3" s="249"/>
      <c r="N3" s="245"/>
      <c r="O3" s="245"/>
      <c r="P3" s="245"/>
      <c r="Q3" s="245"/>
      <c r="R3" s="245"/>
      <c r="S3" s="245"/>
      <c r="T3" s="246"/>
    </row>
    <row r="4" spans="2:20" ht="11.1" customHeight="1" x14ac:dyDescent="0.2">
      <c r="B4" s="250" t="s">
        <v>201</v>
      </c>
      <c r="C4" s="251"/>
      <c r="D4" s="251"/>
      <c r="E4" s="251"/>
      <c r="F4" s="251"/>
      <c r="G4" s="251"/>
      <c r="H4" s="73"/>
      <c r="I4" s="73"/>
      <c r="J4" s="74"/>
      <c r="K4" s="47"/>
      <c r="L4" s="250" t="s">
        <v>201</v>
      </c>
      <c r="M4" s="251"/>
      <c r="N4" s="251"/>
      <c r="O4" s="251"/>
      <c r="P4" s="251"/>
      <c r="Q4" s="251"/>
      <c r="R4" s="73"/>
      <c r="S4" s="73"/>
      <c r="T4" s="74"/>
    </row>
    <row r="5" spans="2:20" ht="11.1" customHeight="1" x14ac:dyDescent="0.2">
      <c r="B5" s="241" t="s">
        <v>202</v>
      </c>
      <c r="C5" s="241"/>
      <c r="D5" s="52">
        <v>95083</v>
      </c>
      <c r="E5" s="52">
        <v>56702</v>
      </c>
      <c r="F5" s="52">
        <v>60694</v>
      </c>
      <c r="G5" s="52">
        <v>0</v>
      </c>
      <c r="H5" s="52">
        <f>SUM(D5:G5)</f>
        <v>212479</v>
      </c>
      <c r="I5" s="52"/>
      <c r="J5" s="52">
        <f t="shared" ref="J5:J16" si="0">H5+I5</f>
        <v>212479</v>
      </c>
      <c r="K5" s="47"/>
      <c r="L5" s="241" t="s">
        <v>202</v>
      </c>
      <c r="M5" s="241"/>
      <c r="N5" s="52">
        <v>95083</v>
      </c>
      <c r="O5" s="52">
        <v>56702</v>
      </c>
      <c r="P5" s="52">
        <v>60694</v>
      </c>
      <c r="Q5" s="52">
        <v>0</v>
      </c>
      <c r="R5" s="52">
        <f>SUM(N5:Q5)</f>
        <v>212479</v>
      </c>
      <c r="S5" s="52"/>
      <c r="T5" s="52">
        <f t="shared" ref="T5:T16" si="1">R5+S5</f>
        <v>212479</v>
      </c>
    </row>
    <row r="6" spans="2:20" ht="11.1" customHeight="1" x14ac:dyDescent="0.2">
      <c r="B6" s="241" t="s">
        <v>33</v>
      </c>
      <c r="C6" s="241"/>
      <c r="D6" s="52">
        <v>69117</v>
      </c>
      <c r="E6" s="52">
        <v>42503</v>
      </c>
      <c r="F6" s="52">
        <v>37488</v>
      </c>
      <c r="G6" s="52">
        <v>0</v>
      </c>
      <c r="H6" s="52">
        <f t="shared" ref="H6:H16" si="2">SUM(D6:G6)</f>
        <v>149108</v>
      </c>
      <c r="I6" s="52"/>
      <c r="J6" s="52">
        <f t="shared" si="0"/>
        <v>149108</v>
      </c>
      <c r="K6" s="47"/>
      <c r="L6" s="241" t="s">
        <v>33</v>
      </c>
      <c r="M6" s="241"/>
      <c r="N6" s="52">
        <v>69117</v>
      </c>
      <c r="O6" s="52">
        <v>42503</v>
      </c>
      <c r="P6" s="52">
        <v>37488</v>
      </c>
      <c r="Q6" s="52">
        <v>0</v>
      </c>
      <c r="R6" s="52">
        <f t="shared" ref="R6:R16" si="3">SUM(N6:Q6)</f>
        <v>149108</v>
      </c>
      <c r="S6" s="52"/>
      <c r="T6" s="52">
        <f t="shared" si="1"/>
        <v>149108</v>
      </c>
    </row>
    <row r="7" spans="2:20" ht="11.1" customHeight="1" x14ac:dyDescent="0.2">
      <c r="B7" s="238" t="s">
        <v>203</v>
      </c>
      <c r="C7" s="238"/>
      <c r="D7" s="49">
        <f>D5-D6</f>
        <v>25966</v>
      </c>
      <c r="E7" s="49">
        <f>E5-E6</f>
        <v>14199</v>
      </c>
      <c r="F7" s="49">
        <f>F5-F6</f>
        <v>23206</v>
      </c>
      <c r="G7" s="49">
        <f>G5-G6</f>
        <v>0</v>
      </c>
      <c r="H7" s="49">
        <f t="shared" si="2"/>
        <v>63371</v>
      </c>
      <c r="I7" s="49">
        <f>I5-I6</f>
        <v>0</v>
      </c>
      <c r="J7" s="49">
        <f t="shared" si="0"/>
        <v>63371</v>
      </c>
      <c r="K7" s="47"/>
      <c r="L7" s="238" t="s">
        <v>203</v>
      </c>
      <c r="M7" s="238"/>
      <c r="N7" s="49">
        <f>N5-N6</f>
        <v>25966</v>
      </c>
      <c r="O7" s="49">
        <f>O5-O6</f>
        <v>14199</v>
      </c>
      <c r="P7" s="49">
        <f>P5-P6</f>
        <v>23206</v>
      </c>
      <c r="Q7" s="49">
        <f>Q5-Q6</f>
        <v>0</v>
      </c>
      <c r="R7" s="49">
        <f t="shared" si="3"/>
        <v>63371</v>
      </c>
      <c r="S7" s="49">
        <f>S5-S6</f>
        <v>0</v>
      </c>
      <c r="T7" s="49">
        <f t="shared" si="1"/>
        <v>63371</v>
      </c>
    </row>
    <row r="8" spans="2:20" ht="11.1" customHeight="1" x14ac:dyDescent="0.2">
      <c r="B8" s="171" t="s">
        <v>4</v>
      </c>
      <c r="C8" s="172"/>
      <c r="D8" s="52">
        <v>3538</v>
      </c>
      <c r="E8" s="52">
        <v>1265</v>
      </c>
      <c r="F8" s="52">
        <v>3924</v>
      </c>
      <c r="G8" s="52">
        <v>80.31</v>
      </c>
      <c r="H8" s="52">
        <f t="shared" si="2"/>
        <v>8807.31</v>
      </c>
      <c r="I8" s="52"/>
      <c r="J8" s="52">
        <f t="shared" si="0"/>
        <v>8807.31</v>
      </c>
      <c r="K8" s="47"/>
      <c r="L8" s="171" t="s">
        <v>4</v>
      </c>
      <c r="M8" s="172"/>
      <c r="N8" s="52">
        <v>3538</v>
      </c>
      <c r="O8" s="52">
        <v>1265</v>
      </c>
      <c r="P8" s="52">
        <v>3924</v>
      </c>
      <c r="Q8" s="52">
        <v>80.31</v>
      </c>
      <c r="R8" s="52">
        <f t="shared" si="3"/>
        <v>8807.31</v>
      </c>
      <c r="S8" s="52"/>
      <c r="T8" s="52">
        <f t="shared" si="1"/>
        <v>8807.31</v>
      </c>
    </row>
    <row r="9" spans="2:20" ht="11.1" customHeight="1" x14ac:dyDescent="0.2">
      <c r="B9" s="171" t="s">
        <v>5</v>
      </c>
      <c r="C9" s="172"/>
      <c r="D9" s="52">
        <v>15004</v>
      </c>
      <c r="E9" s="52">
        <v>6467</v>
      </c>
      <c r="F9" s="52">
        <v>10172</v>
      </c>
      <c r="G9" s="52">
        <v>580</v>
      </c>
      <c r="H9" s="52">
        <f t="shared" si="2"/>
        <v>32223</v>
      </c>
      <c r="I9" s="52"/>
      <c r="J9" s="52">
        <f t="shared" si="0"/>
        <v>32223</v>
      </c>
      <c r="K9" s="47"/>
      <c r="L9" s="171" t="s">
        <v>5</v>
      </c>
      <c r="M9" s="172"/>
      <c r="N9" s="52">
        <v>15004</v>
      </c>
      <c r="O9" s="52">
        <v>6467</v>
      </c>
      <c r="P9" s="52">
        <v>10172</v>
      </c>
      <c r="Q9" s="52">
        <v>580</v>
      </c>
      <c r="R9" s="52">
        <f t="shared" si="3"/>
        <v>32223</v>
      </c>
      <c r="S9" s="52"/>
      <c r="T9" s="52">
        <f t="shared" si="1"/>
        <v>32223</v>
      </c>
    </row>
    <row r="10" spans="2:20" ht="11.1" customHeight="1" x14ac:dyDescent="0.2">
      <c r="B10" s="238" t="s">
        <v>204</v>
      </c>
      <c r="C10" s="238"/>
      <c r="D10" s="49">
        <f>D7-D8-D9</f>
        <v>7424</v>
      </c>
      <c r="E10" s="49">
        <f>E7-E8-E9</f>
        <v>6467</v>
      </c>
      <c r="F10" s="49">
        <f>F7-F8-F9</f>
        <v>9110</v>
      </c>
      <c r="G10" s="49">
        <f>G7-G8-G9</f>
        <v>-660.31</v>
      </c>
      <c r="H10" s="49">
        <f t="shared" si="2"/>
        <v>22340.69</v>
      </c>
      <c r="I10" s="49">
        <f>I7-I8-I9</f>
        <v>0</v>
      </c>
      <c r="J10" s="49">
        <f t="shared" si="0"/>
        <v>22340.69</v>
      </c>
      <c r="K10" s="47"/>
      <c r="L10" s="238" t="s">
        <v>204</v>
      </c>
      <c r="M10" s="238"/>
      <c r="N10" s="49">
        <f>N7-N8-N9</f>
        <v>7424</v>
      </c>
      <c r="O10" s="49">
        <f>O7-O8-O9</f>
        <v>6467</v>
      </c>
      <c r="P10" s="49">
        <f>P7-P8-P9</f>
        <v>9110</v>
      </c>
      <c r="Q10" s="49">
        <f>Q7-Q8-Q9</f>
        <v>-660.31</v>
      </c>
      <c r="R10" s="49">
        <f t="shared" si="3"/>
        <v>22340.69</v>
      </c>
      <c r="S10" s="49">
        <f>S7-S8-S9</f>
        <v>0</v>
      </c>
      <c r="T10" s="49">
        <f t="shared" si="1"/>
        <v>22340.69</v>
      </c>
    </row>
    <row r="11" spans="2:20" ht="11.1" customHeight="1" x14ac:dyDescent="0.2">
      <c r="B11" s="171" t="s">
        <v>205</v>
      </c>
      <c r="C11" s="172"/>
      <c r="D11" s="52">
        <v>-252</v>
      </c>
      <c r="E11" s="52">
        <v>-76</v>
      </c>
      <c r="F11" s="52">
        <v>-629</v>
      </c>
      <c r="G11" s="52">
        <v>0</v>
      </c>
      <c r="H11" s="52">
        <f t="shared" si="2"/>
        <v>-957</v>
      </c>
      <c r="I11" s="52">
        <v>0</v>
      </c>
      <c r="J11" s="52">
        <f t="shared" si="0"/>
        <v>-957</v>
      </c>
      <c r="K11" s="47"/>
      <c r="L11" s="171" t="s">
        <v>205</v>
      </c>
      <c r="M11" s="172"/>
      <c r="N11" s="52">
        <v>-252</v>
      </c>
      <c r="O11" s="52">
        <v>-76</v>
      </c>
      <c r="P11" s="52">
        <v>-629</v>
      </c>
      <c r="Q11" s="52">
        <v>0</v>
      </c>
      <c r="R11" s="52">
        <f t="shared" si="3"/>
        <v>-957</v>
      </c>
      <c r="S11" s="52">
        <v>0</v>
      </c>
      <c r="T11" s="52">
        <f t="shared" si="1"/>
        <v>-957</v>
      </c>
    </row>
    <row r="12" spans="2:20" ht="11.1" customHeight="1" x14ac:dyDescent="0.2">
      <c r="B12" s="180" t="s">
        <v>206</v>
      </c>
      <c r="C12" s="172"/>
      <c r="D12" s="52">
        <v>0</v>
      </c>
      <c r="E12" s="52">
        <v>0</v>
      </c>
      <c r="F12" s="52">
        <v>235</v>
      </c>
      <c r="G12" s="52">
        <v>0</v>
      </c>
      <c r="H12" s="52">
        <f t="shared" si="2"/>
        <v>235</v>
      </c>
      <c r="I12" s="52"/>
      <c r="J12" s="52">
        <f t="shared" si="0"/>
        <v>235</v>
      </c>
      <c r="K12" s="47"/>
      <c r="L12" s="180" t="s">
        <v>206</v>
      </c>
      <c r="M12" s="172"/>
      <c r="N12" s="52">
        <v>0</v>
      </c>
      <c r="O12" s="52">
        <v>0</v>
      </c>
      <c r="P12" s="52">
        <v>235</v>
      </c>
      <c r="Q12" s="52">
        <v>0</v>
      </c>
      <c r="R12" s="52">
        <f t="shared" si="3"/>
        <v>235</v>
      </c>
      <c r="S12" s="52"/>
      <c r="T12" s="52">
        <f t="shared" si="1"/>
        <v>235</v>
      </c>
    </row>
    <row r="13" spans="2:20" ht="11.1" customHeight="1" x14ac:dyDescent="0.2">
      <c r="B13" s="180" t="s">
        <v>27</v>
      </c>
      <c r="C13" s="172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180" t="s">
        <v>27</v>
      </c>
      <c r="M13" s="172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38" t="s">
        <v>207</v>
      </c>
      <c r="C14" s="238"/>
      <c r="D14" s="49">
        <f t="shared" ref="D14:G14" si="4">D10+D11+D12+D13</f>
        <v>7172</v>
      </c>
      <c r="E14" s="49">
        <f t="shared" si="4"/>
        <v>6391</v>
      </c>
      <c r="F14" s="49">
        <f t="shared" si="4"/>
        <v>8716</v>
      </c>
      <c r="G14" s="49">
        <f t="shared" si="4"/>
        <v>-660.31</v>
      </c>
      <c r="H14" s="49">
        <f t="shared" si="2"/>
        <v>21618.69</v>
      </c>
      <c r="I14" s="49">
        <f>I10+I11+I13</f>
        <v>0</v>
      </c>
      <c r="J14" s="49">
        <f t="shared" si="0"/>
        <v>21618.69</v>
      </c>
      <c r="K14" s="47"/>
      <c r="L14" s="238" t="s">
        <v>207</v>
      </c>
      <c r="M14" s="238"/>
      <c r="N14" s="49">
        <f t="shared" ref="N14:Q14" si="5">N10+N11+N12+N13</f>
        <v>7172</v>
      </c>
      <c r="O14" s="49">
        <f t="shared" si="5"/>
        <v>6391</v>
      </c>
      <c r="P14" s="49">
        <f t="shared" si="5"/>
        <v>8716</v>
      </c>
      <c r="Q14" s="49">
        <f t="shared" si="5"/>
        <v>-660.31</v>
      </c>
      <c r="R14" s="49">
        <f t="shared" si="3"/>
        <v>21618.69</v>
      </c>
      <c r="S14" s="49">
        <f>S10+S11+S13</f>
        <v>0</v>
      </c>
      <c r="T14" s="49">
        <f t="shared" si="1"/>
        <v>21618.69</v>
      </c>
    </row>
    <row r="15" spans="2:20" ht="11.1" customHeight="1" x14ac:dyDescent="0.2">
      <c r="B15" s="75" t="s">
        <v>22</v>
      </c>
      <c r="C15" s="76"/>
      <c r="D15" s="49">
        <v>5964</v>
      </c>
      <c r="E15" s="49">
        <v>3369</v>
      </c>
      <c r="F15" s="49">
        <v>2363</v>
      </c>
      <c r="G15" s="49">
        <v>0</v>
      </c>
      <c r="H15" s="49">
        <f t="shared" si="2"/>
        <v>11696</v>
      </c>
      <c r="I15" s="49">
        <v>0</v>
      </c>
      <c r="J15" s="49">
        <f t="shared" si="0"/>
        <v>11696</v>
      </c>
      <c r="K15" s="47"/>
      <c r="L15" s="75" t="s">
        <v>22</v>
      </c>
      <c r="M15" s="76"/>
      <c r="N15" s="49">
        <v>5964</v>
      </c>
      <c r="O15" s="49">
        <v>3369</v>
      </c>
      <c r="P15" s="49">
        <v>2363</v>
      </c>
      <c r="Q15" s="49">
        <v>0</v>
      </c>
      <c r="R15" s="49">
        <f t="shared" si="3"/>
        <v>11696</v>
      </c>
      <c r="S15" s="49">
        <v>0</v>
      </c>
      <c r="T15" s="49">
        <f t="shared" si="1"/>
        <v>11696</v>
      </c>
    </row>
    <row r="16" spans="2:20" ht="11.1" customHeight="1" x14ac:dyDescent="0.2">
      <c r="B16" s="239" t="s">
        <v>23</v>
      </c>
      <c r="C16" s="240"/>
      <c r="D16" s="49">
        <f>D14+D15</f>
        <v>13136</v>
      </c>
      <c r="E16" s="49">
        <f t="shared" ref="E16:G16" si="6">E14+E15</f>
        <v>9760</v>
      </c>
      <c r="F16" s="49">
        <f t="shared" si="6"/>
        <v>11079</v>
      </c>
      <c r="G16" s="49">
        <f t="shared" si="6"/>
        <v>-660.31</v>
      </c>
      <c r="H16" s="49">
        <f t="shared" si="2"/>
        <v>33314.69</v>
      </c>
      <c r="I16" s="49">
        <f>I14+I15</f>
        <v>0</v>
      </c>
      <c r="J16" s="49">
        <f t="shared" si="0"/>
        <v>33314.69</v>
      </c>
      <c r="K16" s="47"/>
      <c r="L16" s="239" t="s">
        <v>23</v>
      </c>
      <c r="M16" s="240"/>
      <c r="N16" s="49">
        <f>N14+N15</f>
        <v>13136</v>
      </c>
      <c r="O16" s="49">
        <f t="shared" ref="O16:Q16" si="7">O14+O15</f>
        <v>9760</v>
      </c>
      <c r="P16" s="49">
        <f t="shared" si="7"/>
        <v>11079</v>
      </c>
      <c r="Q16" s="49">
        <f t="shared" si="7"/>
        <v>-660.31</v>
      </c>
      <c r="R16" s="49">
        <f t="shared" si="3"/>
        <v>33314.69</v>
      </c>
      <c r="S16" s="49">
        <f>S14+S15</f>
        <v>0</v>
      </c>
      <c r="T16" s="49">
        <f t="shared" si="1"/>
        <v>33314.69</v>
      </c>
    </row>
    <row r="17" spans="2:20" ht="11.1" customHeight="1" x14ac:dyDescent="0.2">
      <c r="B17" s="242" t="s">
        <v>208</v>
      </c>
      <c r="C17" s="243"/>
      <c r="D17" s="243"/>
      <c r="E17" s="243"/>
      <c r="F17" s="243"/>
      <c r="G17" s="243"/>
      <c r="H17" s="73"/>
      <c r="I17" s="73"/>
      <c r="J17" s="73"/>
      <c r="K17" s="47"/>
      <c r="L17" s="242" t="s">
        <v>208</v>
      </c>
      <c r="M17" s="243"/>
      <c r="N17" s="243"/>
      <c r="O17" s="243"/>
      <c r="P17" s="243"/>
      <c r="Q17" s="243"/>
      <c r="R17" s="73"/>
      <c r="S17" s="73"/>
      <c r="T17" s="73"/>
    </row>
    <row r="18" spans="2:20" ht="11.1" customHeight="1" x14ac:dyDescent="0.2">
      <c r="B18" s="241" t="s">
        <v>202</v>
      </c>
      <c r="C18" s="241"/>
      <c r="D18" s="52">
        <v>76540</v>
      </c>
      <c r="E18" s="52">
        <v>48872</v>
      </c>
      <c r="F18" s="52">
        <v>56825</v>
      </c>
      <c r="G18" s="52">
        <v>0</v>
      </c>
      <c r="H18" s="52">
        <f t="shared" ref="H18:H29" si="8">SUM(D18:G18)</f>
        <v>182237</v>
      </c>
      <c r="I18" s="52">
        <v>5946</v>
      </c>
      <c r="J18" s="52">
        <f t="shared" ref="J18:J29" si="9">H18+I18</f>
        <v>188183</v>
      </c>
      <c r="K18" s="47"/>
      <c r="L18" s="241" t="s">
        <v>202</v>
      </c>
      <c r="M18" s="241"/>
      <c r="N18" s="52">
        <v>76540</v>
      </c>
      <c r="O18" s="52">
        <v>48872</v>
      </c>
      <c r="P18" s="52">
        <v>56825</v>
      </c>
      <c r="Q18" s="52">
        <v>0</v>
      </c>
      <c r="R18" s="52">
        <f t="shared" ref="R18:R29" si="10">SUM(N18:Q18)</f>
        <v>182237</v>
      </c>
      <c r="S18" s="52">
        <v>5946</v>
      </c>
      <c r="T18" s="52">
        <f t="shared" ref="T18:T29" si="11">R18+S18</f>
        <v>188183</v>
      </c>
    </row>
    <row r="19" spans="2:20" ht="11.1" customHeight="1" x14ac:dyDescent="0.2">
      <c r="B19" s="241" t="s">
        <v>33</v>
      </c>
      <c r="C19" s="241"/>
      <c r="D19" s="52">
        <v>53671</v>
      </c>
      <c r="E19" s="52">
        <v>35215</v>
      </c>
      <c r="F19" s="52">
        <f>35636-915</f>
        <v>34721</v>
      </c>
      <c r="G19" s="52">
        <v>0</v>
      </c>
      <c r="H19" s="52">
        <f t="shared" si="8"/>
        <v>123607</v>
      </c>
      <c r="I19" s="52">
        <v>5220</v>
      </c>
      <c r="J19" s="52">
        <f t="shared" si="9"/>
        <v>128827</v>
      </c>
      <c r="K19" s="47"/>
      <c r="L19" s="241" t="s">
        <v>33</v>
      </c>
      <c r="M19" s="241"/>
      <c r="N19" s="52">
        <v>53671</v>
      </c>
      <c r="O19" s="52">
        <v>35215</v>
      </c>
      <c r="P19" s="52">
        <f>35636-915</f>
        <v>34721</v>
      </c>
      <c r="Q19" s="52">
        <v>0</v>
      </c>
      <c r="R19" s="52">
        <f t="shared" si="10"/>
        <v>123607</v>
      </c>
      <c r="S19" s="52">
        <v>5220</v>
      </c>
      <c r="T19" s="52">
        <f t="shared" si="11"/>
        <v>128827</v>
      </c>
    </row>
    <row r="20" spans="2:20" ht="11.1" customHeight="1" x14ac:dyDescent="0.2">
      <c r="B20" s="238" t="s">
        <v>203</v>
      </c>
      <c r="C20" s="238"/>
      <c r="D20" s="49">
        <f>D18-D19</f>
        <v>22869</v>
      </c>
      <c r="E20" s="49">
        <f>E18-E19</f>
        <v>13657</v>
      </c>
      <c r="F20" s="49">
        <f>F18-F19</f>
        <v>22104</v>
      </c>
      <c r="G20" s="49">
        <f>G18-G19</f>
        <v>0</v>
      </c>
      <c r="H20" s="49">
        <f t="shared" si="8"/>
        <v>58630</v>
      </c>
      <c r="I20" s="49">
        <f>I18-I19</f>
        <v>726</v>
      </c>
      <c r="J20" s="49">
        <f t="shared" si="9"/>
        <v>59356</v>
      </c>
      <c r="K20" s="47"/>
      <c r="L20" s="238" t="s">
        <v>203</v>
      </c>
      <c r="M20" s="238"/>
      <c r="N20" s="49">
        <f>N18-N19</f>
        <v>22869</v>
      </c>
      <c r="O20" s="49">
        <f>O18-O19</f>
        <v>13657</v>
      </c>
      <c r="P20" s="49">
        <f>P18-P19</f>
        <v>22104</v>
      </c>
      <c r="Q20" s="49">
        <f>Q18-Q19</f>
        <v>0</v>
      </c>
      <c r="R20" s="49">
        <f t="shared" si="10"/>
        <v>58630</v>
      </c>
      <c r="S20" s="49">
        <f>S18-S19</f>
        <v>726</v>
      </c>
      <c r="T20" s="49">
        <f t="shared" si="11"/>
        <v>59356</v>
      </c>
    </row>
    <row r="21" spans="2:20" ht="11.1" customHeight="1" x14ac:dyDescent="0.2">
      <c r="B21" s="171" t="s">
        <v>4</v>
      </c>
      <c r="C21" s="172"/>
      <c r="D21" s="52">
        <v>3971</v>
      </c>
      <c r="E21" s="52">
        <v>1170</v>
      </c>
      <c r="F21" s="52">
        <f>3648-168</f>
        <v>3480</v>
      </c>
      <c r="G21" s="52">
        <v>60</v>
      </c>
      <c r="H21" s="52">
        <f t="shared" si="8"/>
        <v>8681</v>
      </c>
      <c r="I21" s="52">
        <v>44</v>
      </c>
      <c r="J21" s="52">
        <f t="shared" si="9"/>
        <v>8725</v>
      </c>
      <c r="K21" s="47"/>
      <c r="L21" s="171" t="s">
        <v>4</v>
      </c>
      <c r="M21" s="172"/>
      <c r="N21" s="52">
        <v>3971</v>
      </c>
      <c r="O21" s="52">
        <v>1170</v>
      </c>
      <c r="P21" s="52">
        <f>3648-168</f>
        <v>3480</v>
      </c>
      <c r="Q21" s="52">
        <v>60</v>
      </c>
      <c r="R21" s="52">
        <f t="shared" si="10"/>
        <v>8681</v>
      </c>
      <c r="S21" s="52">
        <v>44</v>
      </c>
      <c r="T21" s="52">
        <f t="shared" si="11"/>
        <v>8725</v>
      </c>
    </row>
    <row r="22" spans="2:20" ht="11.1" customHeight="1" x14ac:dyDescent="0.2">
      <c r="B22" s="171" t="s">
        <v>5</v>
      </c>
      <c r="C22" s="172"/>
      <c r="D22" s="52">
        <v>14526</v>
      </c>
      <c r="E22" s="52">
        <v>6642</v>
      </c>
      <c r="F22" s="52">
        <f>6671+1083</f>
        <v>7754</v>
      </c>
      <c r="G22" s="52">
        <v>716</v>
      </c>
      <c r="H22" s="52">
        <f t="shared" si="8"/>
        <v>29638</v>
      </c>
      <c r="I22" s="52"/>
      <c r="J22" s="52">
        <f t="shared" si="9"/>
        <v>29638</v>
      </c>
      <c r="K22" s="47"/>
      <c r="L22" s="171" t="s">
        <v>5</v>
      </c>
      <c r="M22" s="172"/>
      <c r="N22" s="52">
        <v>14526</v>
      </c>
      <c r="O22" s="52">
        <v>6642</v>
      </c>
      <c r="P22" s="52">
        <f>6671+1083</f>
        <v>7754</v>
      </c>
      <c r="Q22" s="52">
        <v>716</v>
      </c>
      <c r="R22" s="52">
        <f t="shared" si="10"/>
        <v>29638</v>
      </c>
      <c r="S22" s="52"/>
      <c r="T22" s="52">
        <f t="shared" si="11"/>
        <v>29638</v>
      </c>
    </row>
    <row r="23" spans="2:20" ht="11.1" customHeight="1" x14ac:dyDescent="0.2">
      <c r="B23" s="238" t="s">
        <v>204</v>
      </c>
      <c r="C23" s="238"/>
      <c r="D23" s="49">
        <f>D20-D21-D22</f>
        <v>4372</v>
      </c>
      <c r="E23" s="49">
        <f>E20-E21-E22</f>
        <v>5845</v>
      </c>
      <c r="F23" s="49">
        <f>F20-F21-F22</f>
        <v>10870</v>
      </c>
      <c r="G23" s="49">
        <f>G20-G21-G22</f>
        <v>-776</v>
      </c>
      <c r="H23" s="49">
        <f t="shared" si="8"/>
        <v>20311</v>
      </c>
      <c r="I23" s="49">
        <f>I20-I21-I22</f>
        <v>682</v>
      </c>
      <c r="J23" s="49">
        <f t="shared" si="9"/>
        <v>20993</v>
      </c>
      <c r="K23" s="47"/>
      <c r="L23" s="238" t="s">
        <v>204</v>
      </c>
      <c r="M23" s="238"/>
      <c r="N23" s="49">
        <f>N20-N21-N22</f>
        <v>4372</v>
      </c>
      <c r="O23" s="49">
        <f>O20-O21-O22</f>
        <v>5845</v>
      </c>
      <c r="P23" s="49">
        <f>P20-P21-P22</f>
        <v>10870</v>
      </c>
      <c r="Q23" s="49">
        <f>Q20-Q21-Q22</f>
        <v>-776</v>
      </c>
      <c r="R23" s="49">
        <f t="shared" si="10"/>
        <v>20311</v>
      </c>
      <c r="S23" s="49">
        <f>S20-S21-S22</f>
        <v>682</v>
      </c>
      <c r="T23" s="49">
        <f t="shared" si="11"/>
        <v>20993</v>
      </c>
    </row>
    <row r="24" spans="2:20" ht="11.1" customHeight="1" x14ac:dyDescent="0.2">
      <c r="B24" s="171" t="s">
        <v>205</v>
      </c>
      <c r="C24" s="172"/>
      <c r="D24" s="52">
        <v>-428</v>
      </c>
      <c r="E24" s="52">
        <v>-92</v>
      </c>
      <c r="F24" s="52">
        <v>-481</v>
      </c>
      <c r="G24" s="52">
        <v>0</v>
      </c>
      <c r="H24" s="52">
        <f t="shared" si="8"/>
        <v>-1001</v>
      </c>
      <c r="I24" s="52">
        <v>0</v>
      </c>
      <c r="J24" s="52">
        <f t="shared" si="9"/>
        <v>-1001</v>
      </c>
      <c r="K24" s="47"/>
      <c r="L24" s="171" t="s">
        <v>205</v>
      </c>
      <c r="M24" s="172"/>
      <c r="N24" s="52">
        <v>-428</v>
      </c>
      <c r="O24" s="52">
        <v>-92</v>
      </c>
      <c r="P24" s="52">
        <v>-481</v>
      </c>
      <c r="Q24" s="52">
        <v>0</v>
      </c>
      <c r="R24" s="52">
        <f t="shared" si="10"/>
        <v>-1001</v>
      </c>
      <c r="S24" s="52">
        <v>0</v>
      </c>
      <c r="T24" s="52">
        <f t="shared" si="11"/>
        <v>-1001</v>
      </c>
    </row>
    <row r="25" spans="2:20" ht="11.1" customHeight="1" x14ac:dyDescent="0.2">
      <c r="B25" s="180" t="s">
        <v>206</v>
      </c>
      <c r="C25" s="172"/>
      <c r="D25" s="52">
        <v>0</v>
      </c>
      <c r="E25" s="52">
        <v>0</v>
      </c>
      <c r="F25" s="52">
        <v>157</v>
      </c>
      <c r="G25" s="52">
        <v>0</v>
      </c>
      <c r="H25" s="52">
        <f t="shared" si="8"/>
        <v>157</v>
      </c>
      <c r="I25" s="52"/>
      <c r="J25" s="52">
        <f t="shared" si="9"/>
        <v>157</v>
      </c>
      <c r="K25" s="47"/>
      <c r="L25" s="180" t="s">
        <v>206</v>
      </c>
      <c r="M25" s="172"/>
      <c r="N25" s="52">
        <v>0</v>
      </c>
      <c r="O25" s="52">
        <v>0</v>
      </c>
      <c r="P25" s="52">
        <v>157</v>
      </c>
      <c r="Q25" s="52">
        <v>0</v>
      </c>
      <c r="R25" s="52">
        <f t="shared" si="10"/>
        <v>157</v>
      </c>
      <c r="S25" s="52"/>
      <c r="T25" s="52">
        <f t="shared" si="11"/>
        <v>157</v>
      </c>
    </row>
    <row r="26" spans="2:20" ht="11.1" customHeight="1" x14ac:dyDescent="0.2">
      <c r="B26" s="180" t="s">
        <v>27</v>
      </c>
      <c r="C26" s="172"/>
      <c r="D26" s="52"/>
      <c r="E26" s="52"/>
      <c r="F26" s="52"/>
      <c r="G26" s="52"/>
      <c r="H26" s="52">
        <f t="shared" si="8"/>
        <v>0</v>
      </c>
      <c r="I26" s="52">
        <v>0</v>
      </c>
      <c r="J26" s="52">
        <f t="shared" si="9"/>
        <v>0</v>
      </c>
      <c r="K26" s="47"/>
      <c r="L26" s="180" t="s">
        <v>27</v>
      </c>
      <c r="M26" s="172"/>
      <c r="N26" s="52"/>
      <c r="O26" s="52"/>
      <c r="P26" s="52"/>
      <c r="Q26" s="52"/>
      <c r="R26" s="52">
        <f t="shared" si="10"/>
        <v>0</v>
      </c>
      <c r="S26" s="52">
        <v>0</v>
      </c>
      <c r="T26" s="52">
        <f t="shared" si="11"/>
        <v>0</v>
      </c>
    </row>
    <row r="27" spans="2:20" ht="11.1" customHeight="1" x14ac:dyDescent="0.2">
      <c r="B27" s="238" t="s">
        <v>207</v>
      </c>
      <c r="C27" s="238"/>
      <c r="D27" s="49">
        <f>D23+D24+D25+D26</f>
        <v>3944</v>
      </c>
      <c r="E27" s="49">
        <f>E23+E24+E25+E26</f>
        <v>5753</v>
      </c>
      <c r="F27" s="49">
        <f>F23+F24+F25+F26</f>
        <v>10546</v>
      </c>
      <c r="G27" s="49">
        <f>G23+G24+G25+G26</f>
        <v>-776</v>
      </c>
      <c r="H27" s="49">
        <f t="shared" si="8"/>
        <v>19467</v>
      </c>
      <c r="I27" s="49">
        <f>I23+I24+I26</f>
        <v>682</v>
      </c>
      <c r="J27" s="49">
        <f t="shared" si="9"/>
        <v>20149</v>
      </c>
      <c r="K27" s="47"/>
      <c r="L27" s="238" t="s">
        <v>207</v>
      </c>
      <c r="M27" s="238"/>
      <c r="N27" s="49">
        <f>N23+N24+N25+N26</f>
        <v>3944</v>
      </c>
      <c r="O27" s="49">
        <f>O23+O24+O25+O26</f>
        <v>5753</v>
      </c>
      <c r="P27" s="49">
        <f>P23+P24+P25+P26</f>
        <v>10546</v>
      </c>
      <c r="Q27" s="49">
        <f>Q23+Q24+Q25+Q26</f>
        <v>-776</v>
      </c>
      <c r="R27" s="49">
        <f t="shared" si="10"/>
        <v>19467</v>
      </c>
      <c r="S27" s="49">
        <f>S23+S24+S26</f>
        <v>682</v>
      </c>
      <c r="T27" s="49">
        <f t="shared" si="11"/>
        <v>20149</v>
      </c>
    </row>
    <row r="28" spans="2:20" ht="11.1" customHeight="1" x14ac:dyDescent="0.2">
      <c r="B28" s="75" t="s">
        <v>22</v>
      </c>
      <c r="C28" s="76"/>
      <c r="D28" s="49">
        <v>5272</v>
      </c>
      <c r="E28" s="49">
        <v>2923</v>
      </c>
      <c r="F28" s="49">
        <v>1842</v>
      </c>
      <c r="G28" s="49">
        <v>0</v>
      </c>
      <c r="H28" s="49">
        <f t="shared" si="8"/>
        <v>10037</v>
      </c>
      <c r="I28" s="49">
        <v>0</v>
      </c>
      <c r="J28" s="49">
        <f t="shared" si="9"/>
        <v>10037</v>
      </c>
      <c r="K28" s="47"/>
      <c r="L28" s="75" t="s">
        <v>22</v>
      </c>
      <c r="M28" s="76"/>
      <c r="N28" s="49">
        <v>5272</v>
      </c>
      <c r="O28" s="49">
        <v>2923</v>
      </c>
      <c r="P28" s="49">
        <v>1842</v>
      </c>
      <c r="Q28" s="49">
        <v>0</v>
      </c>
      <c r="R28" s="49">
        <f t="shared" si="10"/>
        <v>10037</v>
      </c>
      <c r="S28" s="49">
        <v>0</v>
      </c>
      <c r="T28" s="49">
        <f t="shared" si="11"/>
        <v>10037</v>
      </c>
    </row>
    <row r="29" spans="2:20" ht="11.1" customHeight="1" x14ac:dyDescent="0.2">
      <c r="B29" s="239" t="s">
        <v>23</v>
      </c>
      <c r="C29" s="240"/>
      <c r="D29" s="49">
        <f>D27+D28</f>
        <v>9216</v>
      </c>
      <c r="E29" s="49">
        <f t="shared" ref="E29:G29" si="12">E27+E28</f>
        <v>8676</v>
      </c>
      <c r="F29" s="49">
        <f t="shared" si="12"/>
        <v>12388</v>
      </c>
      <c r="G29" s="49">
        <f t="shared" si="12"/>
        <v>-776</v>
      </c>
      <c r="H29" s="49">
        <f t="shared" si="8"/>
        <v>29504</v>
      </c>
      <c r="I29" s="49">
        <f t="shared" ref="I29" si="13">I27+I28</f>
        <v>682</v>
      </c>
      <c r="J29" s="49">
        <f t="shared" si="9"/>
        <v>30186</v>
      </c>
      <c r="K29" s="47"/>
      <c r="L29" s="239" t="s">
        <v>23</v>
      </c>
      <c r="M29" s="240"/>
      <c r="N29" s="49">
        <f>N27+N28</f>
        <v>9216</v>
      </c>
      <c r="O29" s="49">
        <f t="shared" ref="O29:Q29" si="14">O27+O28</f>
        <v>8676</v>
      </c>
      <c r="P29" s="49">
        <f t="shared" si="14"/>
        <v>12388</v>
      </c>
      <c r="Q29" s="49">
        <f t="shared" si="14"/>
        <v>-776</v>
      </c>
      <c r="R29" s="49">
        <f t="shared" si="10"/>
        <v>29504</v>
      </c>
      <c r="S29" s="49">
        <f t="shared" ref="S29" si="15">S27+S28</f>
        <v>682</v>
      </c>
      <c r="T29" s="49">
        <f t="shared" si="11"/>
        <v>30186</v>
      </c>
    </row>
    <row r="30" spans="2:20" ht="11.1" customHeight="1" x14ac:dyDescent="0.2">
      <c r="B30" s="81"/>
      <c r="C30" s="81"/>
      <c r="D30" s="82"/>
      <c r="E30" s="82"/>
      <c r="F30" s="82"/>
      <c r="G30" s="82"/>
      <c r="H30" s="82"/>
      <c r="I30" s="82"/>
      <c r="J30" s="82"/>
      <c r="K30" s="47"/>
      <c r="L30" s="81"/>
      <c r="M30" s="81"/>
      <c r="N30" s="82"/>
      <c r="O30" s="82"/>
      <c r="P30" s="82"/>
      <c r="Q30" s="82"/>
      <c r="R30" s="82"/>
      <c r="S30" s="82"/>
      <c r="T30" s="82"/>
    </row>
    <row r="31" spans="2:20" s="47" customFormat="1" ht="11.1" customHeight="1" x14ac:dyDescent="0.2">
      <c r="B31" s="77"/>
      <c r="C31" s="78"/>
      <c r="D31" s="77"/>
      <c r="E31" s="77"/>
      <c r="F31" s="77"/>
      <c r="G31" s="77"/>
      <c r="H31" s="77"/>
      <c r="I31" s="77"/>
      <c r="J31" s="77"/>
      <c r="L31" s="77"/>
      <c r="M31" s="78"/>
      <c r="N31" s="77"/>
      <c r="O31" s="77"/>
      <c r="P31" s="77"/>
      <c r="Q31" s="77"/>
      <c r="R31" s="77"/>
      <c r="S31" s="77"/>
      <c r="T31" s="77"/>
    </row>
    <row r="32" spans="2:20" s="47" customFormat="1" ht="11.1" customHeight="1" x14ac:dyDescent="0.2">
      <c r="B32" s="174" t="s">
        <v>59</v>
      </c>
      <c r="C32" s="247"/>
      <c r="D32" s="244" t="s">
        <v>194</v>
      </c>
      <c r="E32" s="244" t="s">
        <v>195</v>
      </c>
      <c r="F32" s="244" t="s">
        <v>196</v>
      </c>
      <c r="G32" s="244" t="s">
        <v>197</v>
      </c>
      <c r="H32" s="244" t="s">
        <v>198</v>
      </c>
      <c r="I32" s="244" t="s">
        <v>199</v>
      </c>
      <c r="J32" s="244" t="s">
        <v>200</v>
      </c>
      <c r="L32" s="174" t="s">
        <v>59</v>
      </c>
      <c r="M32" s="247"/>
      <c r="N32" s="244" t="s">
        <v>194</v>
      </c>
      <c r="O32" s="244" t="s">
        <v>195</v>
      </c>
      <c r="P32" s="244" t="s">
        <v>196</v>
      </c>
      <c r="Q32" s="244" t="s">
        <v>197</v>
      </c>
      <c r="R32" s="244" t="s">
        <v>198</v>
      </c>
      <c r="S32" s="244" t="s">
        <v>199</v>
      </c>
      <c r="T32" s="244" t="s">
        <v>200</v>
      </c>
    </row>
    <row r="33" spans="2:20" s="47" customFormat="1" ht="11.1" customHeight="1" x14ac:dyDescent="0.2">
      <c r="B33" s="248"/>
      <c r="C33" s="249"/>
      <c r="D33" s="245"/>
      <c r="E33" s="245"/>
      <c r="F33" s="245"/>
      <c r="G33" s="245"/>
      <c r="H33" s="245"/>
      <c r="I33" s="245"/>
      <c r="J33" s="246"/>
      <c r="L33" s="248"/>
      <c r="M33" s="249"/>
      <c r="N33" s="245"/>
      <c r="O33" s="245"/>
      <c r="P33" s="245"/>
      <c r="Q33" s="245"/>
      <c r="R33" s="245"/>
      <c r="S33" s="245"/>
      <c r="T33" s="246"/>
    </row>
    <row r="34" spans="2:20" s="47" customFormat="1" ht="11.1" customHeight="1" x14ac:dyDescent="0.2">
      <c r="B34" s="250" t="s">
        <v>209</v>
      </c>
      <c r="C34" s="251"/>
      <c r="D34" s="251"/>
      <c r="E34" s="251"/>
      <c r="F34" s="251"/>
      <c r="G34" s="251"/>
      <c r="H34" s="73"/>
      <c r="I34" s="73"/>
      <c r="J34" s="74"/>
      <c r="L34" s="250" t="s">
        <v>210</v>
      </c>
      <c r="M34" s="251"/>
      <c r="N34" s="251"/>
      <c r="O34" s="251"/>
      <c r="P34" s="251"/>
      <c r="Q34" s="251"/>
      <c r="R34" s="73"/>
      <c r="S34" s="73"/>
      <c r="T34" s="74"/>
    </row>
    <row r="35" spans="2:20" s="47" customFormat="1" ht="11.1" customHeight="1" x14ac:dyDescent="0.2">
      <c r="B35" s="241" t="s">
        <v>202</v>
      </c>
      <c r="C35" s="241"/>
      <c r="D35" s="52">
        <v>185111</v>
      </c>
      <c r="E35" s="52">
        <v>111219</v>
      </c>
      <c r="F35" s="52">
        <v>126931</v>
      </c>
      <c r="G35" s="52">
        <v>0</v>
      </c>
      <c r="H35" s="52">
        <f>SUM(D35:G35)</f>
        <v>423261</v>
      </c>
      <c r="I35" s="52"/>
      <c r="J35" s="52">
        <f t="shared" ref="J35:J46" si="16">H35+I35</f>
        <v>423261</v>
      </c>
      <c r="L35" s="241" t="s">
        <v>202</v>
      </c>
      <c r="M35" s="241"/>
      <c r="N35" s="52">
        <f t="shared" ref="N35:Q36" si="17">D35-D5</f>
        <v>90028</v>
      </c>
      <c r="O35" s="52">
        <f t="shared" si="17"/>
        <v>54517</v>
      </c>
      <c r="P35" s="52">
        <f t="shared" si="17"/>
        <v>66237</v>
      </c>
      <c r="Q35" s="52">
        <f t="shared" si="17"/>
        <v>0</v>
      </c>
      <c r="R35" s="52">
        <f>SUM(N35:Q35)</f>
        <v>210782</v>
      </c>
      <c r="S35" s="52">
        <f>I35-I5</f>
        <v>0</v>
      </c>
      <c r="T35" s="52">
        <f t="shared" ref="T35:T46" si="18">R35+S35</f>
        <v>210782</v>
      </c>
    </row>
    <row r="36" spans="2:20" s="47" customFormat="1" ht="11.1" customHeight="1" x14ac:dyDescent="0.2">
      <c r="B36" s="241" t="s">
        <v>33</v>
      </c>
      <c r="C36" s="241"/>
      <c r="D36" s="52">
        <v>133948</v>
      </c>
      <c r="E36" s="52">
        <v>85218</v>
      </c>
      <c r="F36" s="52">
        <v>77804</v>
      </c>
      <c r="G36" s="52">
        <v>0</v>
      </c>
      <c r="H36" s="52">
        <f t="shared" ref="H36:H46" si="19">SUM(D36:G36)</f>
        <v>296970</v>
      </c>
      <c r="I36" s="52"/>
      <c r="J36" s="52">
        <f t="shared" si="16"/>
        <v>296970</v>
      </c>
      <c r="L36" s="241" t="s">
        <v>33</v>
      </c>
      <c r="M36" s="241"/>
      <c r="N36" s="52">
        <f t="shared" si="17"/>
        <v>64831</v>
      </c>
      <c r="O36" s="52">
        <f t="shared" si="17"/>
        <v>42715</v>
      </c>
      <c r="P36" s="52">
        <f t="shared" si="17"/>
        <v>40316</v>
      </c>
      <c r="Q36" s="52">
        <f t="shared" si="17"/>
        <v>0</v>
      </c>
      <c r="R36" s="52">
        <f t="shared" ref="R36:R46" si="20">SUM(N36:Q36)</f>
        <v>147862</v>
      </c>
      <c r="S36" s="52">
        <f>I36-I6</f>
        <v>0</v>
      </c>
      <c r="T36" s="52">
        <f t="shared" si="18"/>
        <v>147862</v>
      </c>
    </row>
    <row r="37" spans="2:20" s="47" customFormat="1" ht="11.1" customHeight="1" x14ac:dyDescent="0.2">
      <c r="B37" s="238" t="s">
        <v>203</v>
      </c>
      <c r="C37" s="238"/>
      <c r="D37" s="49">
        <f>D35-D36</f>
        <v>51163</v>
      </c>
      <c r="E37" s="49">
        <f>E35-E36</f>
        <v>26001</v>
      </c>
      <c r="F37" s="49">
        <f>F35-F36</f>
        <v>49127</v>
      </c>
      <c r="G37" s="49">
        <f>G35-G36</f>
        <v>0</v>
      </c>
      <c r="H37" s="49">
        <f t="shared" si="19"/>
        <v>126291</v>
      </c>
      <c r="I37" s="49">
        <f>I35-I36</f>
        <v>0</v>
      </c>
      <c r="J37" s="49">
        <f t="shared" si="16"/>
        <v>126291</v>
      </c>
      <c r="L37" s="238" t="s">
        <v>203</v>
      </c>
      <c r="M37" s="238"/>
      <c r="N37" s="49">
        <f>N35-N36</f>
        <v>25197</v>
      </c>
      <c r="O37" s="49">
        <f>O35-O36</f>
        <v>11802</v>
      </c>
      <c r="P37" s="49">
        <f>P35-P36</f>
        <v>25921</v>
      </c>
      <c r="Q37" s="49">
        <f>Q35-Q36</f>
        <v>0</v>
      </c>
      <c r="R37" s="49">
        <f t="shared" si="20"/>
        <v>62920</v>
      </c>
      <c r="S37" s="49">
        <f>S35-S36</f>
        <v>0</v>
      </c>
      <c r="T37" s="49">
        <f t="shared" si="18"/>
        <v>62920</v>
      </c>
    </row>
    <row r="38" spans="2:20" s="47" customFormat="1" ht="11.1" customHeight="1" x14ac:dyDescent="0.2">
      <c r="B38" s="171" t="s">
        <v>4</v>
      </c>
      <c r="C38" s="172"/>
      <c r="D38" s="52">
        <v>8299</v>
      </c>
      <c r="E38" s="52">
        <v>2837</v>
      </c>
      <c r="F38" s="52">
        <v>8033</v>
      </c>
      <c r="G38" s="52">
        <v>191</v>
      </c>
      <c r="H38" s="52">
        <f t="shared" si="19"/>
        <v>19360</v>
      </c>
      <c r="I38" s="52"/>
      <c r="J38" s="52">
        <f t="shared" si="16"/>
        <v>19360</v>
      </c>
      <c r="L38" s="171" t="s">
        <v>4</v>
      </c>
      <c r="M38" s="172"/>
      <c r="N38" s="52">
        <f t="shared" ref="N38:Q39" si="21">D38-D8</f>
        <v>4761</v>
      </c>
      <c r="O38" s="52">
        <f t="shared" si="21"/>
        <v>1572</v>
      </c>
      <c r="P38" s="52">
        <f t="shared" si="21"/>
        <v>4109</v>
      </c>
      <c r="Q38" s="52">
        <f t="shared" si="21"/>
        <v>110.69</v>
      </c>
      <c r="R38" s="52">
        <f t="shared" si="20"/>
        <v>10552.69</v>
      </c>
      <c r="S38" s="52">
        <f>I38-I8</f>
        <v>0</v>
      </c>
      <c r="T38" s="52">
        <f t="shared" si="18"/>
        <v>10552.69</v>
      </c>
    </row>
    <row r="39" spans="2:20" s="47" customFormat="1" ht="11.1" customHeight="1" x14ac:dyDescent="0.2">
      <c r="B39" s="171" t="s">
        <v>5</v>
      </c>
      <c r="C39" s="172"/>
      <c r="D39" s="52">
        <v>29781</v>
      </c>
      <c r="E39" s="52">
        <v>12277</v>
      </c>
      <c r="F39" s="52">
        <v>20253</v>
      </c>
      <c r="G39" s="52">
        <v>1543</v>
      </c>
      <c r="H39" s="52">
        <f t="shared" si="19"/>
        <v>63854</v>
      </c>
      <c r="I39" s="52"/>
      <c r="J39" s="52">
        <f t="shared" si="16"/>
        <v>63854</v>
      </c>
      <c r="L39" s="171" t="s">
        <v>5</v>
      </c>
      <c r="M39" s="172"/>
      <c r="N39" s="52">
        <f t="shared" si="21"/>
        <v>14777</v>
      </c>
      <c r="O39" s="52">
        <f t="shared" si="21"/>
        <v>5810</v>
      </c>
      <c r="P39" s="52">
        <f t="shared" si="21"/>
        <v>10081</v>
      </c>
      <c r="Q39" s="52">
        <f t="shared" si="21"/>
        <v>963</v>
      </c>
      <c r="R39" s="52">
        <f t="shared" si="20"/>
        <v>31631</v>
      </c>
      <c r="S39" s="52">
        <f>I39-I9</f>
        <v>0</v>
      </c>
      <c r="T39" s="52">
        <f t="shared" si="18"/>
        <v>31631</v>
      </c>
    </row>
    <row r="40" spans="2:20" s="47" customFormat="1" ht="11.1" customHeight="1" x14ac:dyDescent="0.2">
      <c r="B40" s="238" t="s">
        <v>204</v>
      </c>
      <c r="C40" s="238"/>
      <c r="D40" s="49">
        <f>D37-D38-D39</f>
        <v>13083</v>
      </c>
      <c r="E40" s="49">
        <f>E37-E38-E39</f>
        <v>10887</v>
      </c>
      <c r="F40" s="49">
        <f>F37-F38-F39</f>
        <v>20841</v>
      </c>
      <c r="G40" s="49">
        <f>G37-G38-G39</f>
        <v>-1734</v>
      </c>
      <c r="H40" s="49">
        <f t="shared" si="19"/>
        <v>43077</v>
      </c>
      <c r="I40" s="49">
        <f>I37-I38-I39</f>
        <v>0</v>
      </c>
      <c r="J40" s="49">
        <f t="shared" si="16"/>
        <v>43077</v>
      </c>
      <c r="L40" s="238" t="s">
        <v>204</v>
      </c>
      <c r="M40" s="238"/>
      <c r="N40" s="49">
        <f>N37-N38-N39</f>
        <v>5659</v>
      </c>
      <c r="O40" s="49">
        <f>O37-O38-O39</f>
        <v>4420</v>
      </c>
      <c r="P40" s="49">
        <f>P37-P38-P39</f>
        <v>11731</v>
      </c>
      <c r="Q40" s="49">
        <f>Q37-Q38-Q39</f>
        <v>-1073.69</v>
      </c>
      <c r="R40" s="49">
        <f t="shared" si="20"/>
        <v>20736.310000000001</v>
      </c>
      <c r="S40" s="49">
        <f>S37-S38-S39</f>
        <v>0</v>
      </c>
      <c r="T40" s="49">
        <f t="shared" si="18"/>
        <v>20736.310000000001</v>
      </c>
    </row>
    <row r="41" spans="2:20" s="47" customFormat="1" ht="11.1" customHeight="1" x14ac:dyDescent="0.2">
      <c r="B41" s="171" t="s">
        <v>205</v>
      </c>
      <c r="C41" s="172"/>
      <c r="D41" s="52">
        <v>-659</v>
      </c>
      <c r="E41" s="52">
        <v>-36</v>
      </c>
      <c r="F41" s="52">
        <v>-1387</v>
      </c>
      <c r="G41" s="52">
        <v>0</v>
      </c>
      <c r="H41" s="52">
        <f t="shared" si="19"/>
        <v>-2082</v>
      </c>
      <c r="I41" s="52">
        <v>0</v>
      </c>
      <c r="J41" s="52">
        <f t="shared" si="16"/>
        <v>-2082</v>
      </c>
      <c r="L41" s="171" t="s">
        <v>205</v>
      </c>
      <c r="M41" s="172"/>
      <c r="N41" s="52">
        <f t="shared" ref="N41:P43" si="22">D41-D11</f>
        <v>-407</v>
      </c>
      <c r="O41" s="52">
        <f t="shared" si="22"/>
        <v>40</v>
      </c>
      <c r="P41" s="52">
        <f t="shared" si="22"/>
        <v>-758</v>
      </c>
      <c r="Q41" s="52">
        <v>0</v>
      </c>
      <c r="R41" s="52">
        <f t="shared" si="20"/>
        <v>-1125</v>
      </c>
      <c r="S41" s="52">
        <f>I41-I11</f>
        <v>0</v>
      </c>
      <c r="T41" s="52">
        <f t="shared" si="18"/>
        <v>-1125</v>
      </c>
    </row>
    <row r="42" spans="2:20" s="47" customFormat="1" ht="11.1" customHeight="1" x14ac:dyDescent="0.2">
      <c r="B42" s="180" t="s">
        <v>206</v>
      </c>
      <c r="C42" s="172"/>
      <c r="D42" s="52">
        <v>0</v>
      </c>
      <c r="E42" s="52">
        <v>0</v>
      </c>
      <c r="F42" s="52">
        <v>563</v>
      </c>
      <c r="G42" s="52">
        <v>0</v>
      </c>
      <c r="H42" s="52">
        <f t="shared" si="19"/>
        <v>563</v>
      </c>
      <c r="I42" s="52"/>
      <c r="J42" s="52">
        <f t="shared" si="16"/>
        <v>563</v>
      </c>
      <c r="L42" s="180" t="s">
        <v>206</v>
      </c>
      <c r="M42" s="172"/>
      <c r="N42" s="52">
        <f t="shared" si="22"/>
        <v>0</v>
      </c>
      <c r="O42" s="52">
        <f t="shared" si="22"/>
        <v>0</v>
      </c>
      <c r="P42" s="52">
        <f t="shared" si="22"/>
        <v>328</v>
      </c>
      <c r="Q42" s="52">
        <v>0</v>
      </c>
      <c r="R42" s="52">
        <f t="shared" si="20"/>
        <v>328</v>
      </c>
      <c r="S42" s="52">
        <f>I42-I12</f>
        <v>0</v>
      </c>
      <c r="T42" s="52">
        <f t="shared" si="18"/>
        <v>328</v>
      </c>
    </row>
    <row r="43" spans="2:20" s="47" customFormat="1" ht="11.1" customHeight="1" x14ac:dyDescent="0.2">
      <c r="B43" s="180" t="s">
        <v>27</v>
      </c>
      <c r="C43" s="172"/>
      <c r="D43" s="52">
        <v>0</v>
      </c>
      <c r="E43" s="52">
        <v>0</v>
      </c>
      <c r="F43" s="52">
        <v>0</v>
      </c>
      <c r="G43" s="52">
        <v>0</v>
      </c>
      <c r="H43" s="52">
        <f t="shared" si="19"/>
        <v>0</v>
      </c>
      <c r="I43" s="52">
        <v>0</v>
      </c>
      <c r="J43" s="52">
        <f t="shared" si="16"/>
        <v>0</v>
      </c>
      <c r="L43" s="180" t="s">
        <v>27</v>
      </c>
      <c r="M43" s="172"/>
      <c r="N43" s="52">
        <f t="shared" si="22"/>
        <v>0</v>
      </c>
      <c r="O43" s="52">
        <f t="shared" si="22"/>
        <v>0</v>
      </c>
      <c r="P43" s="52">
        <f t="shared" si="22"/>
        <v>0</v>
      </c>
      <c r="Q43" s="52">
        <v>0</v>
      </c>
      <c r="R43" s="52">
        <f t="shared" si="20"/>
        <v>0</v>
      </c>
      <c r="S43" s="52">
        <f>I43-I13</f>
        <v>0</v>
      </c>
      <c r="T43" s="52">
        <f t="shared" si="18"/>
        <v>0</v>
      </c>
    </row>
    <row r="44" spans="2:20" s="47" customFormat="1" ht="11.1" customHeight="1" x14ac:dyDescent="0.2">
      <c r="B44" s="238" t="s">
        <v>207</v>
      </c>
      <c r="C44" s="238"/>
      <c r="D44" s="49">
        <f t="shared" ref="D44:G44" si="23">D40+D41+D42+D43</f>
        <v>12424</v>
      </c>
      <c r="E44" s="49">
        <f t="shared" si="23"/>
        <v>10851</v>
      </c>
      <c r="F44" s="49">
        <f t="shared" si="23"/>
        <v>20017</v>
      </c>
      <c r="G44" s="49">
        <f t="shared" si="23"/>
        <v>-1734</v>
      </c>
      <c r="H44" s="49">
        <f t="shared" si="19"/>
        <v>41558</v>
      </c>
      <c r="I44" s="49">
        <f>I40+I41+I43</f>
        <v>0</v>
      </c>
      <c r="J44" s="49">
        <f t="shared" si="16"/>
        <v>41558</v>
      </c>
      <c r="L44" s="238" t="s">
        <v>207</v>
      </c>
      <c r="M44" s="238"/>
      <c r="N44" s="49">
        <f t="shared" ref="N44:Q44" si="24">N40+N41+N42+N43</f>
        <v>5252</v>
      </c>
      <c r="O44" s="49">
        <f t="shared" si="24"/>
        <v>4460</v>
      </c>
      <c r="P44" s="49">
        <f t="shared" si="24"/>
        <v>11301</v>
      </c>
      <c r="Q44" s="49">
        <f t="shared" si="24"/>
        <v>-1073.69</v>
      </c>
      <c r="R44" s="49">
        <f t="shared" si="20"/>
        <v>19939.310000000001</v>
      </c>
      <c r="S44" s="49">
        <f>S40+S41+S43</f>
        <v>0</v>
      </c>
      <c r="T44" s="49">
        <f t="shared" si="18"/>
        <v>19939.310000000001</v>
      </c>
    </row>
    <row r="45" spans="2:20" s="47" customFormat="1" ht="11.1" customHeight="1" x14ac:dyDescent="0.2">
      <c r="B45" s="75" t="s">
        <v>22</v>
      </c>
      <c r="C45" s="76"/>
      <c r="D45" s="49">
        <v>12267</v>
      </c>
      <c r="E45" s="49">
        <v>7891</v>
      </c>
      <c r="F45" s="49">
        <v>4513</v>
      </c>
      <c r="G45" s="49">
        <v>0</v>
      </c>
      <c r="H45" s="49">
        <f t="shared" si="19"/>
        <v>24671</v>
      </c>
      <c r="I45" s="49">
        <v>0</v>
      </c>
      <c r="J45" s="49">
        <f t="shared" si="16"/>
        <v>24671</v>
      </c>
      <c r="L45" s="75" t="s">
        <v>22</v>
      </c>
      <c r="M45" s="76"/>
      <c r="N45" s="49">
        <f>D45-D15</f>
        <v>6303</v>
      </c>
      <c r="O45" s="49">
        <f>E45-E15</f>
        <v>4522</v>
      </c>
      <c r="P45" s="49">
        <f>F45-F15</f>
        <v>2150</v>
      </c>
      <c r="Q45" s="49">
        <f>G45-G15</f>
        <v>0</v>
      </c>
      <c r="R45" s="49">
        <f t="shared" si="20"/>
        <v>12975</v>
      </c>
      <c r="S45" s="49">
        <f>I45-I15</f>
        <v>0</v>
      </c>
      <c r="T45" s="49">
        <f t="shared" si="18"/>
        <v>12975</v>
      </c>
    </row>
    <row r="46" spans="2:20" s="47" customFormat="1" ht="11.1" customHeight="1" x14ac:dyDescent="0.2">
      <c r="B46" s="239" t="s">
        <v>23</v>
      </c>
      <c r="C46" s="240"/>
      <c r="D46" s="49">
        <f>D44+D45</f>
        <v>24691</v>
      </c>
      <c r="E46" s="49">
        <f t="shared" ref="E46:G46" si="25">E44+E45</f>
        <v>18742</v>
      </c>
      <c r="F46" s="49">
        <f t="shared" si="25"/>
        <v>24530</v>
      </c>
      <c r="G46" s="49">
        <f t="shared" si="25"/>
        <v>-1734</v>
      </c>
      <c r="H46" s="49">
        <f t="shared" si="19"/>
        <v>66229</v>
      </c>
      <c r="I46" s="49">
        <f>I44+I45</f>
        <v>0</v>
      </c>
      <c r="J46" s="49">
        <f t="shared" si="16"/>
        <v>66229</v>
      </c>
      <c r="L46" s="239" t="s">
        <v>23</v>
      </c>
      <c r="M46" s="240"/>
      <c r="N46" s="49">
        <f>N44+N45</f>
        <v>11555</v>
      </c>
      <c r="O46" s="49">
        <f t="shared" ref="O46:Q46" si="26">O44+O45</f>
        <v>8982</v>
      </c>
      <c r="P46" s="49">
        <f t="shared" si="26"/>
        <v>13451</v>
      </c>
      <c r="Q46" s="49">
        <f t="shared" si="26"/>
        <v>-1073.69</v>
      </c>
      <c r="R46" s="49">
        <f t="shared" si="20"/>
        <v>32914.31</v>
      </c>
      <c r="S46" s="49">
        <f>S44+S45</f>
        <v>0</v>
      </c>
      <c r="T46" s="49">
        <f t="shared" si="18"/>
        <v>32914.31</v>
      </c>
    </row>
    <row r="47" spans="2:20" s="47" customFormat="1" ht="11.1" customHeight="1" x14ac:dyDescent="0.2">
      <c r="B47" s="242" t="s">
        <v>211</v>
      </c>
      <c r="C47" s="243"/>
      <c r="D47" s="243"/>
      <c r="E47" s="243"/>
      <c r="F47" s="243"/>
      <c r="G47" s="243"/>
      <c r="H47" s="73"/>
      <c r="I47" s="73"/>
      <c r="J47" s="73"/>
      <c r="L47" s="242" t="s">
        <v>212</v>
      </c>
      <c r="M47" s="243"/>
      <c r="N47" s="243"/>
      <c r="O47" s="243"/>
      <c r="P47" s="243"/>
      <c r="Q47" s="243"/>
      <c r="R47" s="73"/>
      <c r="S47" s="73"/>
      <c r="T47" s="73"/>
    </row>
    <row r="48" spans="2:20" s="47" customFormat="1" ht="11.1" customHeight="1" x14ac:dyDescent="0.2">
      <c r="B48" s="241" t="s">
        <v>202</v>
      </c>
      <c r="C48" s="241"/>
      <c r="D48" s="52">
        <v>174599</v>
      </c>
      <c r="E48" s="52">
        <v>94169</v>
      </c>
      <c r="F48" s="52">
        <v>115768</v>
      </c>
      <c r="G48" s="52">
        <v>0</v>
      </c>
      <c r="H48" s="52">
        <f t="shared" ref="H48:H59" si="27">SUM(D48:G48)</f>
        <v>384536</v>
      </c>
      <c r="I48" s="52">
        <v>11540</v>
      </c>
      <c r="J48" s="52">
        <f t="shared" ref="J48:J59" si="28">H48+I48</f>
        <v>396076</v>
      </c>
      <c r="L48" s="241" t="s">
        <v>202</v>
      </c>
      <c r="M48" s="241"/>
      <c r="N48" s="52">
        <f t="shared" ref="N48:Q49" si="29">D48-D18</f>
        <v>98059</v>
      </c>
      <c r="O48" s="52">
        <f t="shared" si="29"/>
        <v>45297</v>
      </c>
      <c r="P48" s="52">
        <f t="shared" si="29"/>
        <v>58943</v>
      </c>
      <c r="Q48" s="52">
        <f t="shared" si="29"/>
        <v>0</v>
      </c>
      <c r="R48" s="52">
        <f>SUM(N48:Q48)</f>
        <v>202299</v>
      </c>
      <c r="S48" s="52">
        <f>I48-I18</f>
        <v>5594</v>
      </c>
      <c r="T48" s="52">
        <f t="shared" ref="T48:T59" si="30">R48+S48</f>
        <v>207893</v>
      </c>
    </row>
    <row r="49" spans="2:20" s="47" customFormat="1" ht="11.1" customHeight="1" x14ac:dyDescent="0.2">
      <c r="B49" s="241" t="s">
        <v>33</v>
      </c>
      <c r="C49" s="241"/>
      <c r="D49" s="52">
        <v>121438</v>
      </c>
      <c r="E49" s="52">
        <v>70137</v>
      </c>
      <c r="F49" s="52">
        <v>69623</v>
      </c>
      <c r="G49" s="52">
        <v>0</v>
      </c>
      <c r="H49" s="52">
        <f t="shared" si="27"/>
        <v>261198</v>
      </c>
      <c r="I49" s="52">
        <v>10382</v>
      </c>
      <c r="J49" s="52">
        <f t="shared" si="28"/>
        <v>271580</v>
      </c>
      <c r="L49" s="241" t="s">
        <v>33</v>
      </c>
      <c r="M49" s="241"/>
      <c r="N49" s="52">
        <f t="shared" si="29"/>
        <v>67767</v>
      </c>
      <c r="O49" s="52">
        <f t="shared" si="29"/>
        <v>34922</v>
      </c>
      <c r="P49" s="52">
        <f t="shared" si="29"/>
        <v>34902</v>
      </c>
      <c r="Q49" s="52">
        <f t="shared" si="29"/>
        <v>0</v>
      </c>
      <c r="R49" s="52">
        <f t="shared" ref="R49:R59" si="31">SUM(N49:Q49)</f>
        <v>137591</v>
      </c>
      <c r="S49" s="52">
        <f>I49-I19</f>
        <v>5162</v>
      </c>
      <c r="T49" s="52">
        <f t="shared" si="30"/>
        <v>142753</v>
      </c>
    </row>
    <row r="50" spans="2:20" s="47" customFormat="1" ht="11.1" customHeight="1" x14ac:dyDescent="0.2">
      <c r="B50" s="238" t="s">
        <v>203</v>
      </c>
      <c r="C50" s="238"/>
      <c r="D50" s="49">
        <f>D48-D49</f>
        <v>53161</v>
      </c>
      <c r="E50" s="49">
        <f>E48-E49</f>
        <v>24032</v>
      </c>
      <c r="F50" s="49">
        <f>F48-F49</f>
        <v>46145</v>
      </c>
      <c r="G50" s="49">
        <f>G48-G49</f>
        <v>0</v>
      </c>
      <c r="H50" s="49">
        <f t="shared" si="27"/>
        <v>123338</v>
      </c>
      <c r="I50" s="49">
        <f>I48-I49</f>
        <v>1158</v>
      </c>
      <c r="J50" s="49">
        <f t="shared" si="28"/>
        <v>124496</v>
      </c>
      <c r="L50" s="238" t="s">
        <v>203</v>
      </c>
      <c r="M50" s="238"/>
      <c r="N50" s="49">
        <f>N48-N49</f>
        <v>30292</v>
      </c>
      <c r="O50" s="49">
        <f>O48-O49</f>
        <v>10375</v>
      </c>
      <c r="P50" s="49">
        <f>P48-P49</f>
        <v>24041</v>
      </c>
      <c r="Q50" s="49">
        <f>Q48-Q49</f>
        <v>0</v>
      </c>
      <c r="R50" s="49">
        <f t="shared" si="31"/>
        <v>64708</v>
      </c>
      <c r="S50" s="49">
        <f>S48-S49</f>
        <v>432</v>
      </c>
      <c r="T50" s="49">
        <f t="shared" si="30"/>
        <v>65140</v>
      </c>
    </row>
    <row r="51" spans="2:20" s="47" customFormat="1" ht="11.1" customHeight="1" x14ac:dyDescent="0.2">
      <c r="B51" s="171" t="s">
        <v>4</v>
      </c>
      <c r="C51" s="172"/>
      <c r="D51" s="52">
        <v>8342</v>
      </c>
      <c r="E51" s="52">
        <v>2648</v>
      </c>
      <c r="F51" s="52">
        <v>7527</v>
      </c>
      <c r="G51" s="52">
        <v>120</v>
      </c>
      <c r="H51" s="52">
        <f t="shared" si="27"/>
        <v>18637</v>
      </c>
      <c r="I51" s="52">
        <v>110</v>
      </c>
      <c r="J51" s="52">
        <f t="shared" si="28"/>
        <v>18747</v>
      </c>
      <c r="L51" s="171" t="s">
        <v>4</v>
      </c>
      <c r="M51" s="172"/>
      <c r="N51" s="52">
        <f t="shared" ref="N51:Q52" si="32">D51-D21</f>
        <v>4371</v>
      </c>
      <c r="O51" s="52">
        <f t="shared" si="32"/>
        <v>1478</v>
      </c>
      <c r="P51" s="52">
        <f t="shared" si="32"/>
        <v>4047</v>
      </c>
      <c r="Q51" s="52">
        <f t="shared" si="32"/>
        <v>60</v>
      </c>
      <c r="R51" s="52">
        <f t="shared" si="31"/>
        <v>9956</v>
      </c>
      <c r="S51" s="52">
        <f>I51-I21</f>
        <v>66</v>
      </c>
      <c r="T51" s="52">
        <f t="shared" si="30"/>
        <v>10022</v>
      </c>
    </row>
    <row r="52" spans="2:20" s="47" customFormat="1" ht="11.1" customHeight="1" x14ac:dyDescent="0.2">
      <c r="B52" s="171" t="s">
        <v>5</v>
      </c>
      <c r="C52" s="172"/>
      <c r="D52" s="52">
        <v>29213</v>
      </c>
      <c r="E52" s="52">
        <v>11394</v>
      </c>
      <c r="F52" s="52">
        <v>16945</v>
      </c>
      <c r="G52" s="52">
        <v>1348.44</v>
      </c>
      <c r="H52" s="52">
        <f t="shared" si="27"/>
        <v>58900.44</v>
      </c>
      <c r="I52" s="52">
        <v>210</v>
      </c>
      <c r="J52" s="52">
        <f t="shared" si="28"/>
        <v>59110.44</v>
      </c>
      <c r="L52" s="171" t="s">
        <v>5</v>
      </c>
      <c r="M52" s="172"/>
      <c r="N52" s="52">
        <f t="shared" si="32"/>
        <v>14687</v>
      </c>
      <c r="O52" s="52">
        <f t="shared" si="32"/>
        <v>4752</v>
      </c>
      <c r="P52" s="52">
        <f t="shared" si="32"/>
        <v>9191</v>
      </c>
      <c r="Q52" s="52">
        <f t="shared" si="32"/>
        <v>632.44000000000005</v>
      </c>
      <c r="R52" s="52">
        <f t="shared" si="31"/>
        <v>29262.44</v>
      </c>
      <c r="S52" s="52">
        <f>I52-I22</f>
        <v>210</v>
      </c>
      <c r="T52" s="52">
        <f t="shared" si="30"/>
        <v>29472.44</v>
      </c>
    </row>
    <row r="53" spans="2:20" s="47" customFormat="1" ht="11.1" customHeight="1" x14ac:dyDescent="0.2">
      <c r="B53" s="238" t="s">
        <v>204</v>
      </c>
      <c r="C53" s="238"/>
      <c r="D53" s="49">
        <f>D50-D51-D52</f>
        <v>15606</v>
      </c>
      <c r="E53" s="49">
        <f>E50-E51-E52</f>
        <v>9990</v>
      </c>
      <c r="F53" s="49">
        <f>F50-F51-F52</f>
        <v>21673</v>
      </c>
      <c r="G53" s="49">
        <f>G50-G51-G52</f>
        <v>-1468.44</v>
      </c>
      <c r="H53" s="49">
        <f t="shared" si="27"/>
        <v>45800.56</v>
      </c>
      <c r="I53" s="49">
        <f>I50-I51-I52</f>
        <v>838</v>
      </c>
      <c r="J53" s="49">
        <f t="shared" si="28"/>
        <v>46638.559999999998</v>
      </c>
      <c r="L53" s="238" t="s">
        <v>204</v>
      </c>
      <c r="M53" s="238"/>
      <c r="N53" s="49">
        <f>N50-N51-N52</f>
        <v>11234</v>
      </c>
      <c r="O53" s="49">
        <f>O50-O51-O52</f>
        <v>4145</v>
      </c>
      <c r="P53" s="49">
        <f>P50-P51-P52</f>
        <v>10803</v>
      </c>
      <c r="Q53" s="49">
        <f>Q50-Q51-Q52</f>
        <v>-692.44</v>
      </c>
      <c r="R53" s="49">
        <f t="shared" si="31"/>
        <v>25489.56</v>
      </c>
      <c r="S53" s="49">
        <f>S50-S51-S52</f>
        <v>156</v>
      </c>
      <c r="T53" s="49">
        <f t="shared" si="30"/>
        <v>25645.56</v>
      </c>
    </row>
    <row r="54" spans="2:20" s="47" customFormat="1" ht="11.1" customHeight="1" x14ac:dyDescent="0.2">
      <c r="B54" s="171" t="s">
        <v>205</v>
      </c>
      <c r="C54" s="172"/>
      <c r="D54" s="52">
        <v>-762</v>
      </c>
      <c r="E54" s="52">
        <v>21</v>
      </c>
      <c r="F54" s="52">
        <v>-835</v>
      </c>
      <c r="G54" s="52">
        <v>0</v>
      </c>
      <c r="H54" s="52">
        <f t="shared" si="27"/>
        <v>-1576</v>
      </c>
      <c r="I54" s="52">
        <v>0</v>
      </c>
      <c r="J54" s="52">
        <f t="shared" si="28"/>
        <v>-1576</v>
      </c>
      <c r="L54" s="171" t="s">
        <v>205</v>
      </c>
      <c r="M54" s="172"/>
      <c r="N54" s="52">
        <f t="shared" ref="N54:Q56" si="33">D54-D24</f>
        <v>-334</v>
      </c>
      <c r="O54" s="52">
        <f t="shared" si="33"/>
        <v>113</v>
      </c>
      <c r="P54" s="52">
        <f t="shared" si="33"/>
        <v>-354</v>
      </c>
      <c r="Q54" s="52">
        <f t="shared" si="33"/>
        <v>0</v>
      </c>
      <c r="R54" s="52">
        <f t="shared" si="31"/>
        <v>-575</v>
      </c>
      <c r="S54" s="52">
        <f>I54-I24</f>
        <v>0</v>
      </c>
      <c r="T54" s="52">
        <f t="shared" si="30"/>
        <v>-575</v>
      </c>
    </row>
    <row r="55" spans="2:20" s="47" customFormat="1" ht="11.1" customHeight="1" x14ac:dyDescent="0.2">
      <c r="B55" s="180" t="s">
        <v>206</v>
      </c>
      <c r="C55" s="172"/>
      <c r="D55" s="52">
        <v>0</v>
      </c>
      <c r="E55" s="52">
        <v>13</v>
      </c>
      <c r="F55" s="52">
        <v>440</v>
      </c>
      <c r="G55" s="52">
        <v>0</v>
      </c>
      <c r="H55" s="52">
        <f t="shared" si="27"/>
        <v>453</v>
      </c>
      <c r="I55" s="52">
        <v>0</v>
      </c>
      <c r="J55" s="52">
        <f t="shared" si="28"/>
        <v>453</v>
      </c>
      <c r="L55" s="180" t="s">
        <v>206</v>
      </c>
      <c r="M55" s="172"/>
      <c r="N55" s="52">
        <f t="shared" si="33"/>
        <v>0</v>
      </c>
      <c r="O55" s="52">
        <f t="shared" si="33"/>
        <v>13</v>
      </c>
      <c r="P55" s="52">
        <f t="shared" si="33"/>
        <v>283</v>
      </c>
      <c r="Q55" s="52">
        <f t="shared" si="33"/>
        <v>0</v>
      </c>
      <c r="R55" s="52">
        <f t="shared" si="31"/>
        <v>296</v>
      </c>
      <c r="S55" s="52">
        <f>I55-I25</f>
        <v>0</v>
      </c>
      <c r="T55" s="52">
        <f t="shared" si="30"/>
        <v>296</v>
      </c>
    </row>
    <row r="56" spans="2:20" s="47" customFormat="1" ht="11.1" customHeight="1" x14ac:dyDescent="0.2">
      <c r="B56" s="180" t="s">
        <v>27</v>
      </c>
      <c r="C56" s="172"/>
      <c r="D56" s="52">
        <v>0</v>
      </c>
      <c r="E56" s="52">
        <v>0</v>
      </c>
      <c r="F56" s="52">
        <v>0</v>
      </c>
      <c r="G56" s="52">
        <v>0</v>
      </c>
      <c r="H56" s="52">
        <f t="shared" si="27"/>
        <v>0</v>
      </c>
      <c r="I56" s="52">
        <v>0</v>
      </c>
      <c r="J56" s="52">
        <f t="shared" si="28"/>
        <v>0</v>
      </c>
      <c r="L56" s="180" t="s">
        <v>27</v>
      </c>
      <c r="M56" s="172"/>
      <c r="N56" s="52">
        <f t="shared" si="33"/>
        <v>0</v>
      </c>
      <c r="O56" s="52">
        <f t="shared" si="33"/>
        <v>0</v>
      </c>
      <c r="P56" s="52">
        <f t="shared" si="33"/>
        <v>0</v>
      </c>
      <c r="Q56" s="52">
        <f t="shared" si="33"/>
        <v>0</v>
      </c>
      <c r="R56" s="52">
        <f t="shared" si="31"/>
        <v>0</v>
      </c>
      <c r="S56" s="52">
        <f>I56-I26</f>
        <v>0</v>
      </c>
      <c r="T56" s="52">
        <f t="shared" si="30"/>
        <v>0</v>
      </c>
    </row>
    <row r="57" spans="2:20" s="47" customFormat="1" ht="11.1" customHeight="1" x14ac:dyDescent="0.2">
      <c r="B57" s="238" t="s">
        <v>207</v>
      </c>
      <c r="C57" s="238"/>
      <c r="D57" s="49">
        <f>D53+D54+D55+D56</f>
        <v>14844</v>
      </c>
      <c r="E57" s="49">
        <f>E53+E54+E55+E56</f>
        <v>10024</v>
      </c>
      <c r="F57" s="49">
        <f>F53+F54+F55+F56</f>
        <v>21278</v>
      </c>
      <c r="G57" s="49">
        <f>G53+G54+G55+G56</f>
        <v>-1468.44</v>
      </c>
      <c r="H57" s="49">
        <f t="shared" si="27"/>
        <v>44677.56</v>
      </c>
      <c r="I57" s="49">
        <f>I53+I54+I56</f>
        <v>838</v>
      </c>
      <c r="J57" s="49">
        <f t="shared" si="28"/>
        <v>45515.56</v>
      </c>
      <c r="L57" s="238" t="s">
        <v>207</v>
      </c>
      <c r="M57" s="238"/>
      <c r="N57" s="49">
        <f t="shared" ref="N57:Q57" si="34">N53+N54+N55+N56</f>
        <v>10900</v>
      </c>
      <c r="O57" s="49">
        <f t="shared" si="34"/>
        <v>4271</v>
      </c>
      <c r="P57" s="49">
        <f t="shared" si="34"/>
        <v>10732</v>
      </c>
      <c r="Q57" s="49">
        <f t="shared" si="34"/>
        <v>-692.44</v>
      </c>
      <c r="R57" s="49">
        <f t="shared" si="31"/>
        <v>25210.560000000001</v>
      </c>
      <c r="S57" s="49">
        <f>S53+S54+S56</f>
        <v>156</v>
      </c>
      <c r="T57" s="49">
        <f t="shared" si="30"/>
        <v>25366.560000000001</v>
      </c>
    </row>
    <row r="58" spans="2:20" s="47" customFormat="1" ht="11.1" customHeight="1" x14ac:dyDescent="0.2">
      <c r="B58" s="75" t="s">
        <v>22</v>
      </c>
      <c r="C58" s="76"/>
      <c r="D58" s="49">
        <v>10434</v>
      </c>
      <c r="E58" s="49">
        <v>6063</v>
      </c>
      <c r="F58" s="49">
        <v>3879</v>
      </c>
      <c r="G58" s="49">
        <v>0</v>
      </c>
      <c r="H58" s="49">
        <f t="shared" si="27"/>
        <v>20376</v>
      </c>
      <c r="I58" s="49">
        <v>0</v>
      </c>
      <c r="J58" s="49">
        <f t="shared" si="28"/>
        <v>20376</v>
      </c>
      <c r="L58" s="75" t="s">
        <v>22</v>
      </c>
      <c r="M58" s="76"/>
      <c r="N58" s="49">
        <f>D58-D28</f>
        <v>5162</v>
      </c>
      <c r="O58" s="49">
        <f>E58-E28</f>
        <v>3140</v>
      </c>
      <c r="P58" s="49">
        <f>F58-F28</f>
        <v>2037</v>
      </c>
      <c r="Q58" s="49">
        <f>G58-G28</f>
        <v>0</v>
      </c>
      <c r="R58" s="49">
        <f t="shared" si="31"/>
        <v>10339</v>
      </c>
      <c r="S58" s="49">
        <f>I58-I28</f>
        <v>0</v>
      </c>
      <c r="T58" s="49">
        <f t="shared" si="30"/>
        <v>10339</v>
      </c>
    </row>
    <row r="59" spans="2:20" s="47" customFormat="1" ht="11.1" customHeight="1" x14ac:dyDescent="0.2">
      <c r="B59" s="239" t="s">
        <v>23</v>
      </c>
      <c r="C59" s="240"/>
      <c r="D59" s="49">
        <f>D57+D58</f>
        <v>25278</v>
      </c>
      <c r="E59" s="49">
        <f t="shared" ref="E59:G59" si="35">E57+E58</f>
        <v>16087</v>
      </c>
      <c r="F59" s="49">
        <f t="shared" si="35"/>
        <v>25157</v>
      </c>
      <c r="G59" s="49">
        <f t="shared" si="35"/>
        <v>-1468.44</v>
      </c>
      <c r="H59" s="49">
        <f t="shared" si="27"/>
        <v>65053.56</v>
      </c>
      <c r="I59" s="49">
        <f t="shared" ref="I59" si="36">I57+I58</f>
        <v>838</v>
      </c>
      <c r="J59" s="49">
        <f t="shared" si="28"/>
        <v>65891.56</v>
      </c>
      <c r="L59" s="239" t="s">
        <v>23</v>
      </c>
      <c r="M59" s="240"/>
      <c r="N59" s="49">
        <f>N57+N58</f>
        <v>16062</v>
      </c>
      <c r="O59" s="49">
        <f t="shared" ref="O59:Q59" si="37">O57+O58</f>
        <v>7411</v>
      </c>
      <c r="P59" s="49">
        <f t="shared" si="37"/>
        <v>12769</v>
      </c>
      <c r="Q59" s="49">
        <f t="shared" si="37"/>
        <v>-692.44</v>
      </c>
      <c r="R59" s="49">
        <f t="shared" si="31"/>
        <v>35549.56</v>
      </c>
      <c r="S59" s="49">
        <f>S57+S58</f>
        <v>156</v>
      </c>
      <c r="T59" s="49">
        <f t="shared" si="30"/>
        <v>35705.56</v>
      </c>
    </row>
    <row r="60" spans="2:20" s="47" customFormat="1" ht="11.1" customHeight="1" x14ac:dyDescent="0.2">
      <c r="B60" s="81"/>
      <c r="C60" s="81"/>
      <c r="D60" s="82"/>
      <c r="E60" s="82"/>
      <c r="F60" s="82"/>
      <c r="G60" s="82"/>
      <c r="H60" s="82"/>
      <c r="I60" s="82"/>
      <c r="J60" s="83"/>
      <c r="L60" s="81"/>
      <c r="M60" s="81"/>
      <c r="N60" s="82"/>
      <c r="O60" s="82"/>
      <c r="P60" s="82"/>
      <c r="Q60" s="82"/>
      <c r="R60" s="82"/>
      <c r="S60" s="82"/>
      <c r="T60" s="83"/>
    </row>
    <row r="61" spans="2:20" ht="11.1" customHeight="1" x14ac:dyDescent="0.2">
      <c r="B61" s="48" t="s">
        <v>193</v>
      </c>
      <c r="C61" s="72"/>
      <c r="D61" s="48"/>
      <c r="E61" s="48"/>
      <c r="F61" s="48"/>
      <c r="G61" s="48"/>
      <c r="H61" s="48"/>
      <c r="I61" s="48"/>
      <c r="J61" s="79"/>
      <c r="L61" s="48" t="s">
        <v>193</v>
      </c>
      <c r="M61" s="72"/>
      <c r="N61" s="48"/>
      <c r="O61" s="48"/>
      <c r="P61" s="48"/>
      <c r="Q61" s="48"/>
      <c r="R61" s="48"/>
      <c r="S61" s="48"/>
      <c r="T61" s="79"/>
    </row>
    <row r="62" spans="2:20" ht="11.1" customHeight="1" x14ac:dyDescent="0.2">
      <c r="B62" s="174" t="s">
        <v>59</v>
      </c>
      <c r="C62" s="247"/>
      <c r="D62" s="244" t="s">
        <v>194</v>
      </c>
      <c r="E62" s="244" t="s">
        <v>195</v>
      </c>
      <c r="F62" s="244" t="s">
        <v>196</v>
      </c>
      <c r="G62" s="244" t="s">
        <v>197</v>
      </c>
      <c r="H62" s="244" t="s">
        <v>198</v>
      </c>
      <c r="I62" s="244" t="s">
        <v>199</v>
      </c>
      <c r="J62" s="244" t="s">
        <v>200</v>
      </c>
      <c r="L62" s="174" t="s">
        <v>59</v>
      </c>
      <c r="M62" s="247"/>
      <c r="N62" s="244" t="s">
        <v>194</v>
      </c>
      <c r="O62" s="244" t="s">
        <v>195</v>
      </c>
      <c r="P62" s="244" t="s">
        <v>196</v>
      </c>
      <c r="Q62" s="244" t="s">
        <v>197</v>
      </c>
      <c r="R62" s="244" t="s">
        <v>198</v>
      </c>
      <c r="S62" s="244" t="s">
        <v>199</v>
      </c>
      <c r="T62" s="244" t="s">
        <v>200</v>
      </c>
    </row>
    <row r="63" spans="2:20" ht="11.1" customHeight="1" x14ac:dyDescent="0.2">
      <c r="B63" s="248"/>
      <c r="C63" s="249"/>
      <c r="D63" s="245"/>
      <c r="E63" s="245"/>
      <c r="F63" s="245"/>
      <c r="G63" s="245"/>
      <c r="H63" s="245"/>
      <c r="I63" s="245"/>
      <c r="J63" s="245"/>
      <c r="L63" s="248"/>
      <c r="M63" s="249"/>
      <c r="N63" s="245"/>
      <c r="O63" s="245"/>
      <c r="P63" s="245"/>
      <c r="Q63" s="245"/>
      <c r="R63" s="245"/>
      <c r="S63" s="245"/>
      <c r="T63" s="245"/>
    </row>
    <row r="64" spans="2:20" ht="11.1" customHeight="1" x14ac:dyDescent="0.2">
      <c r="B64" s="250" t="s">
        <v>213</v>
      </c>
      <c r="C64" s="251"/>
      <c r="D64" s="251"/>
      <c r="E64" s="251"/>
      <c r="F64" s="251"/>
      <c r="G64" s="251"/>
      <c r="H64" s="73"/>
      <c r="I64" s="73"/>
      <c r="J64" s="80"/>
      <c r="L64" s="250" t="s">
        <v>214</v>
      </c>
      <c r="M64" s="251"/>
      <c r="N64" s="251"/>
      <c r="O64" s="251"/>
      <c r="P64" s="251"/>
      <c r="Q64" s="251"/>
      <c r="R64" s="73"/>
      <c r="S64" s="73"/>
      <c r="T64" s="80"/>
    </row>
    <row r="65" spans="2:20" ht="11.1" customHeight="1" x14ac:dyDescent="0.2">
      <c r="B65" s="241" t="s">
        <v>202</v>
      </c>
      <c r="C65" s="241"/>
      <c r="D65" s="52">
        <v>279614</v>
      </c>
      <c r="E65" s="52">
        <v>174546</v>
      </c>
      <c r="F65" s="52">
        <v>189596</v>
      </c>
      <c r="G65" s="52"/>
      <c r="H65" s="52">
        <f t="shared" ref="H65:H76" si="38">SUM(D65:G65)</f>
        <v>643756</v>
      </c>
      <c r="I65" s="52"/>
      <c r="J65" s="52">
        <f>H65+I65</f>
        <v>643756</v>
      </c>
      <c r="L65" s="241" t="s">
        <v>202</v>
      </c>
      <c r="M65" s="241"/>
      <c r="N65" s="52">
        <f t="shared" ref="N65:Q66" si="39">D65-D35</f>
        <v>94503</v>
      </c>
      <c r="O65" s="52">
        <f t="shared" si="39"/>
        <v>63327</v>
      </c>
      <c r="P65" s="52">
        <f t="shared" si="39"/>
        <v>62665</v>
      </c>
      <c r="Q65" s="52">
        <f t="shared" si="39"/>
        <v>0</v>
      </c>
      <c r="R65" s="52">
        <f>SUM(N65:Q65)</f>
        <v>220495</v>
      </c>
      <c r="S65" s="52">
        <f>I65-I35</f>
        <v>0</v>
      </c>
      <c r="T65" s="52">
        <f t="shared" ref="T65:T76" si="40">R65+S65</f>
        <v>220495</v>
      </c>
    </row>
    <row r="66" spans="2:20" ht="11.1" customHeight="1" x14ac:dyDescent="0.2">
      <c r="B66" s="241" t="s">
        <v>33</v>
      </c>
      <c r="C66" s="241"/>
      <c r="D66" s="52">
        <v>202224</v>
      </c>
      <c r="E66" s="52">
        <v>134638</v>
      </c>
      <c r="F66" s="52">
        <v>120481</v>
      </c>
      <c r="G66" s="52"/>
      <c r="H66" s="52">
        <f t="shared" si="38"/>
        <v>457343</v>
      </c>
      <c r="I66" s="52"/>
      <c r="J66" s="52">
        <f t="shared" ref="J66:J76" si="41">H66+I66</f>
        <v>457343</v>
      </c>
      <c r="L66" s="241" t="s">
        <v>33</v>
      </c>
      <c r="M66" s="241"/>
      <c r="N66" s="52">
        <f t="shared" si="39"/>
        <v>68276</v>
      </c>
      <c r="O66" s="52">
        <f t="shared" si="39"/>
        <v>49420</v>
      </c>
      <c r="P66" s="52">
        <f t="shared" si="39"/>
        <v>42677</v>
      </c>
      <c r="Q66" s="52">
        <f t="shared" si="39"/>
        <v>0</v>
      </c>
      <c r="R66" s="52">
        <f t="shared" ref="R66:R76" si="42">SUM(N66:Q66)</f>
        <v>160373</v>
      </c>
      <c r="S66" s="52">
        <f>I66-I36</f>
        <v>0</v>
      </c>
      <c r="T66" s="52">
        <f t="shared" si="40"/>
        <v>160373</v>
      </c>
    </row>
    <row r="67" spans="2:20" ht="11.1" customHeight="1" x14ac:dyDescent="0.2">
      <c r="B67" s="238" t="s">
        <v>203</v>
      </c>
      <c r="C67" s="238"/>
      <c r="D67" s="49">
        <f>D65-D66</f>
        <v>77390</v>
      </c>
      <c r="E67" s="49">
        <f>E65-E66</f>
        <v>39908</v>
      </c>
      <c r="F67" s="49">
        <f>F65-F66</f>
        <v>69115</v>
      </c>
      <c r="G67" s="49">
        <f>G65-G66</f>
        <v>0</v>
      </c>
      <c r="H67" s="49">
        <f t="shared" si="38"/>
        <v>186413</v>
      </c>
      <c r="I67" s="49">
        <f>I65-I66</f>
        <v>0</v>
      </c>
      <c r="J67" s="49">
        <f t="shared" si="41"/>
        <v>186413</v>
      </c>
      <c r="L67" s="238" t="s">
        <v>203</v>
      </c>
      <c r="M67" s="238"/>
      <c r="N67" s="49">
        <f>N65-N66</f>
        <v>26227</v>
      </c>
      <c r="O67" s="49">
        <f>O65-O66</f>
        <v>13907</v>
      </c>
      <c r="P67" s="49">
        <f>P65-P66</f>
        <v>19988</v>
      </c>
      <c r="Q67" s="49">
        <f>Q65-Q66</f>
        <v>0</v>
      </c>
      <c r="R67" s="49">
        <f t="shared" si="42"/>
        <v>60122</v>
      </c>
      <c r="S67" s="49">
        <f>S65-S66</f>
        <v>0</v>
      </c>
      <c r="T67" s="49">
        <f t="shared" si="40"/>
        <v>60122</v>
      </c>
    </row>
    <row r="68" spans="2:20" ht="11.1" customHeight="1" x14ac:dyDescent="0.2">
      <c r="B68" s="171" t="s">
        <v>4</v>
      </c>
      <c r="C68" s="172"/>
      <c r="D68" s="52">
        <v>12372</v>
      </c>
      <c r="E68" s="52">
        <v>4438</v>
      </c>
      <c r="F68" s="52">
        <v>11621</v>
      </c>
      <c r="G68" s="52">
        <v>283</v>
      </c>
      <c r="H68" s="52">
        <f t="shared" si="38"/>
        <v>28714</v>
      </c>
      <c r="I68" s="52"/>
      <c r="J68" s="52">
        <f t="shared" si="41"/>
        <v>28714</v>
      </c>
      <c r="L68" s="171" t="s">
        <v>4</v>
      </c>
      <c r="M68" s="172"/>
      <c r="N68" s="52">
        <f t="shared" ref="N68:Q69" si="43">D68-D38</f>
        <v>4073</v>
      </c>
      <c r="O68" s="52">
        <f t="shared" si="43"/>
        <v>1601</v>
      </c>
      <c r="P68" s="52">
        <f t="shared" si="43"/>
        <v>3588</v>
      </c>
      <c r="Q68" s="52">
        <f t="shared" si="43"/>
        <v>92</v>
      </c>
      <c r="R68" s="52">
        <f t="shared" si="42"/>
        <v>9354</v>
      </c>
      <c r="S68" s="52">
        <f>I68-I38</f>
        <v>0</v>
      </c>
      <c r="T68" s="52">
        <f t="shared" si="40"/>
        <v>9354</v>
      </c>
    </row>
    <row r="69" spans="2:20" ht="11.1" customHeight="1" x14ac:dyDescent="0.2">
      <c r="B69" s="171" t="s">
        <v>5</v>
      </c>
      <c r="C69" s="172"/>
      <c r="D69" s="52">
        <v>42964</v>
      </c>
      <c r="E69" s="52">
        <v>18608</v>
      </c>
      <c r="F69" s="52">
        <v>29662</v>
      </c>
      <c r="G69" s="52">
        <v>2163</v>
      </c>
      <c r="H69" s="52">
        <f t="shared" si="38"/>
        <v>93397</v>
      </c>
      <c r="I69" s="52"/>
      <c r="J69" s="52">
        <f t="shared" si="41"/>
        <v>93397</v>
      </c>
      <c r="L69" s="171" t="s">
        <v>5</v>
      </c>
      <c r="M69" s="172"/>
      <c r="N69" s="52">
        <f t="shared" si="43"/>
        <v>13183</v>
      </c>
      <c r="O69" s="52">
        <f t="shared" si="43"/>
        <v>6331</v>
      </c>
      <c r="P69" s="52">
        <f t="shared" si="43"/>
        <v>9409</v>
      </c>
      <c r="Q69" s="52">
        <f t="shared" si="43"/>
        <v>620</v>
      </c>
      <c r="R69" s="52">
        <f t="shared" si="42"/>
        <v>29543</v>
      </c>
      <c r="S69" s="52">
        <f>I69-I39</f>
        <v>0</v>
      </c>
      <c r="T69" s="52">
        <f t="shared" si="40"/>
        <v>29543</v>
      </c>
    </row>
    <row r="70" spans="2:20" ht="11.1" customHeight="1" x14ac:dyDescent="0.2">
      <c r="B70" s="238" t="s">
        <v>204</v>
      </c>
      <c r="C70" s="238"/>
      <c r="D70" s="49">
        <f>D67-D68-D69</f>
        <v>22054</v>
      </c>
      <c r="E70" s="49">
        <f>E67-E68-E69</f>
        <v>16862</v>
      </c>
      <c r="F70" s="49">
        <f>F67-F68-F69</f>
        <v>27832</v>
      </c>
      <c r="G70" s="49">
        <f>G67-G68-G69</f>
        <v>-2446</v>
      </c>
      <c r="H70" s="49">
        <f t="shared" si="38"/>
        <v>64302</v>
      </c>
      <c r="I70" s="49">
        <f>I67-I68-I69</f>
        <v>0</v>
      </c>
      <c r="J70" s="49">
        <f t="shared" si="41"/>
        <v>64302</v>
      </c>
      <c r="L70" s="238" t="s">
        <v>204</v>
      </c>
      <c r="M70" s="238"/>
      <c r="N70" s="49">
        <f>N67-N68-N69</f>
        <v>8971</v>
      </c>
      <c r="O70" s="49">
        <f>O67-O68-O69</f>
        <v>5975</v>
      </c>
      <c r="P70" s="49">
        <f>P67-P68-P69</f>
        <v>6991</v>
      </c>
      <c r="Q70" s="49">
        <f>Q67-Q68-Q69</f>
        <v>-712</v>
      </c>
      <c r="R70" s="49">
        <f t="shared" si="42"/>
        <v>21225</v>
      </c>
      <c r="S70" s="49">
        <f>S67-S68-S69</f>
        <v>0</v>
      </c>
      <c r="T70" s="49">
        <f t="shared" si="40"/>
        <v>21225</v>
      </c>
    </row>
    <row r="71" spans="2:20" ht="11.1" customHeight="1" x14ac:dyDescent="0.2">
      <c r="B71" s="171" t="s">
        <v>205</v>
      </c>
      <c r="C71" s="172"/>
      <c r="D71" s="52">
        <v>-4622</v>
      </c>
      <c r="E71" s="52">
        <v>1797</v>
      </c>
      <c r="F71" s="52">
        <v>-2042</v>
      </c>
      <c r="G71" s="52"/>
      <c r="H71" s="52">
        <f t="shared" si="38"/>
        <v>-4867</v>
      </c>
      <c r="I71" s="52">
        <v>0</v>
      </c>
      <c r="J71" s="52">
        <f t="shared" si="41"/>
        <v>-4867</v>
      </c>
      <c r="L71" s="171" t="s">
        <v>205</v>
      </c>
      <c r="M71" s="172"/>
      <c r="N71" s="52">
        <f t="shared" ref="N71:Q73" si="44">D71-D41</f>
        <v>-3963</v>
      </c>
      <c r="O71" s="52">
        <f t="shared" si="44"/>
        <v>1833</v>
      </c>
      <c r="P71" s="52">
        <f t="shared" si="44"/>
        <v>-655</v>
      </c>
      <c r="Q71" s="52">
        <f t="shared" si="44"/>
        <v>0</v>
      </c>
      <c r="R71" s="52">
        <f t="shared" si="42"/>
        <v>-2785</v>
      </c>
      <c r="S71" s="52">
        <f>I71-I41</f>
        <v>0</v>
      </c>
      <c r="T71" s="52">
        <f t="shared" si="40"/>
        <v>-2785</v>
      </c>
    </row>
    <row r="72" spans="2:20" ht="11.1" customHeight="1" x14ac:dyDescent="0.2">
      <c r="B72" s="180" t="s">
        <v>206</v>
      </c>
      <c r="C72" s="172"/>
      <c r="D72" s="52">
        <v>0</v>
      </c>
      <c r="E72" s="52">
        <v>0</v>
      </c>
      <c r="F72" s="52">
        <v>1166</v>
      </c>
      <c r="G72" s="52"/>
      <c r="H72" s="52">
        <f t="shared" si="38"/>
        <v>1166</v>
      </c>
      <c r="I72" s="52"/>
      <c r="J72" s="52">
        <f t="shared" si="41"/>
        <v>1166</v>
      </c>
      <c r="L72" s="180" t="s">
        <v>206</v>
      </c>
      <c r="M72" s="172"/>
      <c r="N72" s="52">
        <f t="shared" si="44"/>
        <v>0</v>
      </c>
      <c r="O72" s="52">
        <f t="shared" si="44"/>
        <v>0</v>
      </c>
      <c r="P72" s="52">
        <f t="shared" si="44"/>
        <v>603</v>
      </c>
      <c r="Q72" s="52">
        <f t="shared" si="44"/>
        <v>0</v>
      </c>
      <c r="R72" s="52">
        <f t="shared" si="42"/>
        <v>603</v>
      </c>
      <c r="S72" s="52">
        <f>I72-I42</f>
        <v>0</v>
      </c>
      <c r="T72" s="52">
        <f t="shared" si="40"/>
        <v>603</v>
      </c>
    </row>
    <row r="73" spans="2:20" ht="11.1" customHeight="1" x14ac:dyDescent="0.2">
      <c r="B73" s="180" t="s">
        <v>27</v>
      </c>
      <c r="C73" s="172"/>
      <c r="D73" s="52"/>
      <c r="E73" s="52"/>
      <c r="F73" s="52"/>
      <c r="G73" s="52"/>
      <c r="H73" s="52">
        <f t="shared" si="38"/>
        <v>0</v>
      </c>
      <c r="I73" s="52">
        <v>0</v>
      </c>
      <c r="J73" s="52">
        <f t="shared" si="41"/>
        <v>0</v>
      </c>
      <c r="L73" s="180" t="s">
        <v>27</v>
      </c>
      <c r="M73" s="172"/>
      <c r="N73" s="52">
        <f t="shared" si="44"/>
        <v>0</v>
      </c>
      <c r="O73" s="52">
        <f t="shared" si="44"/>
        <v>0</v>
      </c>
      <c r="P73" s="52">
        <f t="shared" si="44"/>
        <v>0</v>
      </c>
      <c r="Q73" s="52">
        <f t="shared" si="44"/>
        <v>0</v>
      </c>
      <c r="R73" s="52">
        <f t="shared" si="42"/>
        <v>0</v>
      </c>
      <c r="S73" s="52">
        <f>I73-I43</f>
        <v>0</v>
      </c>
      <c r="T73" s="52">
        <f t="shared" si="40"/>
        <v>0</v>
      </c>
    </row>
    <row r="74" spans="2:20" ht="11.1" customHeight="1" x14ac:dyDescent="0.2">
      <c r="B74" s="238" t="s">
        <v>207</v>
      </c>
      <c r="C74" s="238"/>
      <c r="D74" s="49">
        <f t="shared" ref="D74:G74" si="45">D70+D71+D72+D73</f>
        <v>17432</v>
      </c>
      <c r="E74" s="49">
        <f t="shared" si="45"/>
        <v>18659</v>
      </c>
      <c r="F74" s="49">
        <f t="shared" si="45"/>
        <v>26956</v>
      </c>
      <c r="G74" s="49">
        <f t="shared" si="45"/>
        <v>-2446</v>
      </c>
      <c r="H74" s="49">
        <f t="shared" si="38"/>
        <v>60601</v>
      </c>
      <c r="I74" s="49">
        <f>I70+I71+I73</f>
        <v>0</v>
      </c>
      <c r="J74" s="49">
        <f>H74+I74</f>
        <v>60601</v>
      </c>
      <c r="L74" s="238" t="s">
        <v>207</v>
      </c>
      <c r="M74" s="238"/>
      <c r="N74" s="49">
        <f t="shared" ref="N74:Q74" si="46">N70+N71+N72+N73</f>
        <v>5008</v>
      </c>
      <c r="O74" s="49">
        <f t="shared" si="46"/>
        <v>7808</v>
      </c>
      <c r="P74" s="49">
        <f t="shared" si="46"/>
        <v>6939</v>
      </c>
      <c r="Q74" s="49">
        <f t="shared" si="46"/>
        <v>-712</v>
      </c>
      <c r="R74" s="49">
        <f t="shared" si="42"/>
        <v>19043</v>
      </c>
      <c r="S74" s="49">
        <f>S70+S71+S73</f>
        <v>0</v>
      </c>
      <c r="T74" s="49">
        <f t="shared" si="40"/>
        <v>19043</v>
      </c>
    </row>
    <row r="75" spans="2:20" ht="11.1" customHeight="1" x14ac:dyDescent="0.2">
      <c r="B75" s="75" t="s">
        <v>22</v>
      </c>
      <c r="C75" s="76"/>
      <c r="D75" s="49">
        <v>18524</v>
      </c>
      <c r="E75" s="49">
        <v>11697</v>
      </c>
      <c r="F75" s="49">
        <v>6811</v>
      </c>
      <c r="G75" s="49">
        <v>0</v>
      </c>
      <c r="H75" s="49">
        <f t="shared" si="38"/>
        <v>37032</v>
      </c>
      <c r="I75" s="49">
        <v>0</v>
      </c>
      <c r="J75" s="49">
        <f t="shared" si="41"/>
        <v>37032</v>
      </c>
      <c r="L75" s="75" t="s">
        <v>22</v>
      </c>
      <c r="M75" s="76"/>
      <c r="N75" s="49">
        <f>D75-D45</f>
        <v>6257</v>
      </c>
      <c r="O75" s="49">
        <f>E75-E45</f>
        <v>3806</v>
      </c>
      <c r="P75" s="49">
        <f>F75-F45</f>
        <v>2298</v>
      </c>
      <c r="Q75" s="49">
        <f>G75-G45</f>
        <v>0</v>
      </c>
      <c r="R75" s="49">
        <f t="shared" si="42"/>
        <v>12361</v>
      </c>
      <c r="S75" s="49">
        <f>I75-I45</f>
        <v>0</v>
      </c>
      <c r="T75" s="49">
        <f t="shared" si="40"/>
        <v>12361</v>
      </c>
    </row>
    <row r="76" spans="2:20" ht="11.1" customHeight="1" x14ac:dyDescent="0.2">
      <c r="B76" s="239" t="s">
        <v>23</v>
      </c>
      <c r="C76" s="240"/>
      <c r="D76" s="49">
        <f>D74+D75</f>
        <v>35956</v>
      </c>
      <c r="E76" s="49">
        <f t="shared" ref="E76:G76" si="47">E74+E75</f>
        <v>30356</v>
      </c>
      <c r="F76" s="49">
        <f t="shared" si="47"/>
        <v>33767</v>
      </c>
      <c r="G76" s="49">
        <f t="shared" si="47"/>
        <v>-2446</v>
      </c>
      <c r="H76" s="49">
        <f t="shared" si="38"/>
        <v>97633</v>
      </c>
      <c r="I76" s="49">
        <f>I74+I75</f>
        <v>0</v>
      </c>
      <c r="J76" s="49">
        <f t="shared" si="41"/>
        <v>97633</v>
      </c>
      <c r="L76" s="239" t="s">
        <v>23</v>
      </c>
      <c r="M76" s="240"/>
      <c r="N76" s="49">
        <f>N74+N75</f>
        <v>11265</v>
      </c>
      <c r="O76" s="49">
        <f t="shared" ref="O76:Q76" si="48">O74+O75</f>
        <v>11614</v>
      </c>
      <c r="P76" s="49">
        <f t="shared" si="48"/>
        <v>9237</v>
      </c>
      <c r="Q76" s="49">
        <f t="shared" si="48"/>
        <v>-712</v>
      </c>
      <c r="R76" s="49">
        <f t="shared" si="42"/>
        <v>31404</v>
      </c>
      <c r="S76" s="49">
        <f>S74+S75</f>
        <v>0</v>
      </c>
      <c r="T76" s="49">
        <f t="shared" si="40"/>
        <v>31404</v>
      </c>
    </row>
    <row r="77" spans="2:20" ht="11.1" customHeight="1" x14ac:dyDescent="0.2">
      <c r="B77" s="242" t="s">
        <v>215</v>
      </c>
      <c r="C77" s="243"/>
      <c r="D77" s="243"/>
      <c r="E77" s="243"/>
      <c r="F77" s="243"/>
      <c r="G77" s="243"/>
      <c r="H77" s="73"/>
      <c r="I77" s="73"/>
      <c r="J77" s="80"/>
      <c r="L77" s="242" t="s">
        <v>216</v>
      </c>
      <c r="M77" s="243"/>
      <c r="N77" s="243"/>
      <c r="O77" s="243"/>
      <c r="P77" s="243"/>
      <c r="Q77" s="243"/>
      <c r="R77" s="73"/>
      <c r="S77" s="73"/>
      <c r="T77" s="80"/>
    </row>
    <row r="78" spans="2:20" ht="11.1" customHeight="1" x14ac:dyDescent="0.2">
      <c r="B78" s="241" t="s">
        <v>202</v>
      </c>
      <c r="C78" s="241"/>
      <c r="D78" s="52">
        <v>270615</v>
      </c>
      <c r="E78" s="52">
        <v>134927</v>
      </c>
      <c r="F78" s="52">
        <v>181171</v>
      </c>
      <c r="G78" s="52"/>
      <c r="H78" s="52">
        <f t="shared" ref="H78:H89" si="49">SUM(D78:G78)</f>
        <v>586713</v>
      </c>
      <c r="I78" s="52">
        <v>13967</v>
      </c>
      <c r="J78" s="52">
        <f>H78+I78</f>
        <v>600680</v>
      </c>
      <c r="L78" s="241" t="s">
        <v>202</v>
      </c>
      <c r="M78" s="241"/>
      <c r="N78" s="52">
        <f t="shared" ref="N78:Q79" si="50">D78-D48</f>
        <v>96016</v>
      </c>
      <c r="O78" s="52">
        <f t="shared" si="50"/>
        <v>40758</v>
      </c>
      <c r="P78" s="52">
        <f t="shared" si="50"/>
        <v>65403</v>
      </c>
      <c r="Q78" s="52">
        <f t="shared" si="50"/>
        <v>0</v>
      </c>
      <c r="R78" s="52">
        <f>SUM(N78:Q78)</f>
        <v>202177</v>
      </c>
      <c r="S78" s="52">
        <f>I78-I48</f>
        <v>2427</v>
      </c>
      <c r="T78" s="52">
        <f t="shared" ref="T78:T89" si="51">R78+S78</f>
        <v>204604</v>
      </c>
    </row>
    <row r="79" spans="2:20" ht="11.1" customHeight="1" x14ac:dyDescent="0.2">
      <c r="B79" s="241" t="s">
        <v>33</v>
      </c>
      <c r="C79" s="241"/>
      <c r="D79" s="52">
        <v>189787</v>
      </c>
      <c r="E79" s="52">
        <v>102925</v>
      </c>
      <c r="F79" s="52">
        <v>107647</v>
      </c>
      <c r="G79" s="52"/>
      <c r="H79" s="52">
        <f t="shared" si="49"/>
        <v>400359</v>
      </c>
      <c r="I79" s="52">
        <v>12525</v>
      </c>
      <c r="J79" s="52">
        <f t="shared" ref="J79:J89" si="52">H79+I79</f>
        <v>412884</v>
      </c>
      <c r="L79" s="241" t="s">
        <v>33</v>
      </c>
      <c r="M79" s="241"/>
      <c r="N79" s="52">
        <f t="shared" si="50"/>
        <v>68349</v>
      </c>
      <c r="O79" s="52">
        <f t="shared" si="50"/>
        <v>32788</v>
      </c>
      <c r="P79" s="52">
        <f t="shared" si="50"/>
        <v>38024</v>
      </c>
      <c r="Q79" s="52">
        <f t="shared" si="50"/>
        <v>0</v>
      </c>
      <c r="R79" s="52">
        <f t="shared" ref="R79:R89" si="53">SUM(N79:Q79)</f>
        <v>139161</v>
      </c>
      <c r="S79" s="52">
        <f>I79-I49</f>
        <v>2143</v>
      </c>
      <c r="T79" s="52">
        <f t="shared" si="51"/>
        <v>141304</v>
      </c>
    </row>
    <row r="80" spans="2:20" ht="11.1" customHeight="1" x14ac:dyDescent="0.2">
      <c r="B80" s="238" t="s">
        <v>203</v>
      </c>
      <c r="C80" s="238"/>
      <c r="D80" s="49">
        <f>D78-D79</f>
        <v>80828</v>
      </c>
      <c r="E80" s="49">
        <f>E78-E79</f>
        <v>32002</v>
      </c>
      <c r="F80" s="49">
        <f>F78-F79</f>
        <v>73524</v>
      </c>
      <c r="G80" s="49">
        <f>G78-G79</f>
        <v>0</v>
      </c>
      <c r="H80" s="49">
        <f t="shared" si="49"/>
        <v>186354</v>
      </c>
      <c r="I80" s="49">
        <f>I78-I79</f>
        <v>1442</v>
      </c>
      <c r="J80" s="49">
        <f t="shared" si="52"/>
        <v>187796</v>
      </c>
      <c r="L80" s="238" t="s">
        <v>203</v>
      </c>
      <c r="M80" s="238"/>
      <c r="N80" s="49">
        <f>N78-N79</f>
        <v>27667</v>
      </c>
      <c r="O80" s="49">
        <f>O78-O79</f>
        <v>7970</v>
      </c>
      <c r="P80" s="49">
        <f>P78-P79</f>
        <v>27379</v>
      </c>
      <c r="Q80" s="49">
        <f>Q78-Q79</f>
        <v>0</v>
      </c>
      <c r="R80" s="49">
        <f t="shared" si="53"/>
        <v>63016</v>
      </c>
      <c r="S80" s="49">
        <f>S78-S79</f>
        <v>284</v>
      </c>
      <c r="T80" s="49">
        <f t="shared" si="51"/>
        <v>63300</v>
      </c>
    </row>
    <row r="81" spans="2:20" ht="11.1" customHeight="1" x14ac:dyDescent="0.2">
      <c r="B81" s="171" t="s">
        <v>4</v>
      </c>
      <c r="C81" s="172"/>
      <c r="D81" s="52">
        <v>12333</v>
      </c>
      <c r="E81" s="52">
        <v>4339</v>
      </c>
      <c r="F81" s="52">
        <v>11945</v>
      </c>
      <c r="G81" s="52">
        <v>180</v>
      </c>
      <c r="H81" s="52">
        <f t="shared" si="49"/>
        <v>28797</v>
      </c>
      <c r="I81" s="52">
        <v>168</v>
      </c>
      <c r="J81" s="52">
        <f t="shared" si="52"/>
        <v>28965</v>
      </c>
      <c r="L81" s="171" t="s">
        <v>4</v>
      </c>
      <c r="M81" s="172"/>
      <c r="N81" s="52">
        <f t="shared" ref="N81:Q82" si="54">D81-D51</f>
        <v>3991</v>
      </c>
      <c r="O81" s="52">
        <f t="shared" si="54"/>
        <v>1691</v>
      </c>
      <c r="P81" s="52">
        <f t="shared" si="54"/>
        <v>4418</v>
      </c>
      <c r="Q81" s="52">
        <f t="shared" si="54"/>
        <v>60</v>
      </c>
      <c r="R81" s="52">
        <f t="shared" si="53"/>
        <v>10160</v>
      </c>
      <c r="S81" s="52">
        <f>I81-I51</f>
        <v>58</v>
      </c>
      <c r="T81" s="52">
        <f t="shared" si="51"/>
        <v>10218</v>
      </c>
    </row>
    <row r="82" spans="2:20" ht="11.1" customHeight="1" x14ac:dyDescent="0.2">
      <c r="B82" s="171" t="s">
        <v>5</v>
      </c>
      <c r="C82" s="172"/>
      <c r="D82" s="52">
        <v>42515</v>
      </c>
      <c r="E82" s="52">
        <v>16812</v>
      </c>
      <c r="F82" s="52">
        <v>25942</v>
      </c>
      <c r="G82" s="52">
        <v>2537</v>
      </c>
      <c r="H82" s="52">
        <f t="shared" si="49"/>
        <v>87806</v>
      </c>
      <c r="I82" s="52"/>
      <c r="J82" s="52">
        <f t="shared" si="52"/>
        <v>87806</v>
      </c>
      <c r="L82" s="171" t="s">
        <v>5</v>
      </c>
      <c r="M82" s="172"/>
      <c r="N82" s="52">
        <f t="shared" si="54"/>
        <v>13302</v>
      </c>
      <c r="O82" s="52">
        <f t="shared" si="54"/>
        <v>5418</v>
      </c>
      <c r="P82" s="52">
        <f t="shared" si="54"/>
        <v>8997</v>
      </c>
      <c r="Q82" s="52">
        <f t="shared" si="54"/>
        <v>1188.56</v>
      </c>
      <c r="R82" s="52">
        <f t="shared" si="53"/>
        <v>28905.56</v>
      </c>
      <c r="S82" s="52">
        <f>I82-I52</f>
        <v>-210</v>
      </c>
      <c r="T82" s="52">
        <f t="shared" si="51"/>
        <v>28695.56</v>
      </c>
    </row>
    <row r="83" spans="2:20" ht="11.1" customHeight="1" x14ac:dyDescent="0.2">
      <c r="B83" s="238" t="s">
        <v>204</v>
      </c>
      <c r="C83" s="238"/>
      <c r="D83" s="49">
        <f>D80-D81-D82</f>
        <v>25980</v>
      </c>
      <c r="E83" s="49">
        <f>E80-E81-E82</f>
        <v>10851</v>
      </c>
      <c r="F83" s="49">
        <f>F80-F81-F82</f>
        <v>35637</v>
      </c>
      <c r="G83" s="49">
        <f>G80-G81-G82</f>
        <v>-2717</v>
      </c>
      <c r="H83" s="49">
        <f t="shared" si="49"/>
        <v>69751</v>
      </c>
      <c r="I83" s="49">
        <f>I80-I81-I82</f>
        <v>1274</v>
      </c>
      <c r="J83" s="49">
        <f t="shared" si="52"/>
        <v>71025</v>
      </c>
      <c r="L83" s="238" t="s">
        <v>204</v>
      </c>
      <c r="M83" s="238"/>
      <c r="N83" s="49">
        <f>N80-N81-N82</f>
        <v>10374</v>
      </c>
      <c r="O83" s="49">
        <f>O80-O81-O82</f>
        <v>861</v>
      </c>
      <c r="P83" s="49">
        <f>P80-P81-P82</f>
        <v>13964</v>
      </c>
      <c r="Q83" s="49">
        <f>Q80-Q81-Q82</f>
        <v>-1248.56</v>
      </c>
      <c r="R83" s="49">
        <f t="shared" si="53"/>
        <v>23950.44</v>
      </c>
      <c r="S83" s="49">
        <f>S80-S81-S82</f>
        <v>436</v>
      </c>
      <c r="T83" s="49">
        <f t="shared" si="51"/>
        <v>24386.44</v>
      </c>
    </row>
    <row r="84" spans="2:20" ht="11.1" customHeight="1" x14ac:dyDescent="0.2">
      <c r="B84" s="171" t="s">
        <v>205</v>
      </c>
      <c r="C84" s="172"/>
      <c r="D84" s="52">
        <v>-2804</v>
      </c>
      <c r="E84" s="52">
        <v>151</v>
      </c>
      <c r="F84" s="52">
        <v>-558</v>
      </c>
      <c r="G84" s="52">
        <v>846</v>
      </c>
      <c r="H84" s="52">
        <f t="shared" si="49"/>
        <v>-2365</v>
      </c>
      <c r="I84" s="52">
        <v>0</v>
      </c>
      <c r="J84" s="52">
        <f t="shared" si="52"/>
        <v>-2365</v>
      </c>
      <c r="L84" s="171" t="s">
        <v>205</v>
      </c>
      <c r="M84" s="172"/>
      <c r="N84" s="52">
        <f t="shared" ref="N84:Q86" si="55">D84-D54</f>
        <v>-2042</v>
      </c>
      <c r="O84" s="52">
        <f t="shared" si="55"/>
        <v>130</v>
      </c>
      <c r="P84" s="52">
        <f t="shared" si="55"/>
        <v>277</v>
      </c>
      <c r="Q84" s="52">
        <f t="shared" si="55"/>
        <v>846</v>
      </c>
      <c r="R84" s="52">
        <f t="shared" si="53"/>
        <v>-789</v>
      </c>
      <c r="S84" s="52">
        <f>I84-I54</f>
        <v>0</v>
      </c>
      <c r="T84" s="52">
        <f t="shared" si="51"/>
        <v>-789</v>
      </c>
    </row>
    <row r="85" spans="2:20" ht="11.1" customHeight="1" x14ac:dyDescent="0.2">
      <c r="B85" s="180" t="s">
        <v>206</v>
      </c>
      <c r="C85" s="172"/>
      <c r="D85" s="52">
        <v>0</v>
      </c>
      <c r="E85" s="52">
        <v>13</v>
      </c>
      <c r="F85" s="52">
        <v>921</v>
      </c>
      <c r="G85" s="52">
        <v>-1</v>
      </c>
      <c r="H85" s="52">
        <f t="shared" si="49"/>
        <v>933</v>
      </c>
      <c r="I85" s="52"/>
      <c r="J85" s="52">
        <f t="shared" si="52"/>
        <v>933</v>
      </c>
      <c r="L85" s="180" t="s">
        <v>206</v>
      </c>
      <c r="M85" s="172"/>
      <c r="N85" s="52">
        <f t="shared" si="55"/>
        <v>0</v>
      </c>
      <c r="O85" s="52">
        <f t="shared" si="55"/>
        <v>0</v>
      </c>
      <c r="P85" s="52">
        <f t="shared" si="55"/>
        <v>481</v>
      </c>
      <c r="Q85" s="52">
        <f t="shared" si="55"/>
        <v>-1</v>
      </c>
      <c r="R85" s="52">
        <f t="shared" si="53"/>
        <v>480</v>
      </c>
      <c r="S85" s="52">
        <f>I85-I55</f>
        <v>0</v>
      </c>
      <c r="T85" s="52">
        <f t="shared" si="51"/>
        <v>480</v>
      </c>
    </row>
    <row r="86" spans="2:20" ht="11.1" customHeight="1" x14ac:dyDescent="0.2">
      <c r="B86" s="180" t="s">
        <v>27</v>
      </c>
      <c r="C86" s="172"/>
      <c r="D86" s="52"/>
      <c r="E86" s="52"/>
      <c r="F86" s="52"/>
      <c r="G86" s="52"/>
      <c r="H86" s="52">
        <f t="shared" si="49"/>
        <v>0</v>
      </c>
      <c r="I86" s="52">
        <v>0</v>
      </c>
      <c r="J86" s="52">
        <f t="shared" si="52"/>
        <v>0</v>
      </c>
      <c r="L86" s="180" t="s">
        <v>27</v>
      </c>
      <c r="M86" s="172"/>
      <c r="N86" s="52">
        <f t="shared" si="55"/>
        <v>0</v>
      </c>
      <c r="O86" s="52">
        <f t="shared" si="55"/>
        <v>0</v>
      </c>
      <c r="P86" s="52">
        <f t="shared" si="55"/>
        <v>0</v>
      </c>
      <c r="Q86" s="52">
        <f t="shared" si="55"/>
        <v>0</v>
      </c>
      <c r="R86" s="52">
        <f t="shared" si="53"/>
        <v>0</v>
      </c>
      <c r="S86" s="52">
        <f>I86-I56</f>
        <v>0</v>
      </c>
      <c r="T86" s="52">
        <f t="shared" si="51"/>
        <v>0</v>
      </c>
    </row>
    <row r="87" spans="2:20" ht="11.1" customHeight="1" x14ac:dyDescent="0.2">
      <c r="B87" s="238" t="s">
        <v>207</v>
      </c>
      <c r="C87" s="238"/>
      <c r="D87" s="49">
        <f>D83+D84+D85+D86</f>
        <v>23176</v>
      </c>
      <c r="E87" s="49">
        <f>E83+E84+E85+E86</f>
        <v>11015</v>
      </c>
      <c r="F87" s="49">
        <f>F83+F84+F85+F86</f>
        <v>36000</v>
      </c>
      <c r="G87" s="49">
        <f>G83+G84+G85+G86</f>
        <v>-1872</v>
      </c>
      <c r="H87" s="49">
        <f t="shared" si="49"/>
        <v>68319</v>
      </c>
      <c r="I87" s="49">
        <f>I83+I84+I86</f>
        <v>1274</v>
      </c>
      <c r="J87" s="49">
        <f t="shared" si="52"/>
        <v>69593</v>
      </c>
      <c r="L87" s="238" t="s">
        <v>207</v>
      </c>
      <c r="M87" s="238"/>
      <c r="N87" s="49">
        <f t="shared" ref="N87:Q87" si="56">N83+N84+N85+N86</f>
        <v>8332</v>
      </c>
      <c r="O87" s="49">
        <f t="shared" si="56"/>
        <v>991</v>
      </c>
      <c r="P87" s="49">
        <f t="shared" si="56"/>
        <v>14722</v>
      </c>
      <c r="Q87" s="49">
        <f t="shared" si="56"/>
        <v>-403.55999999999995</v>
      </c>
      <c r="R87" s="49">
        <f t="shared" si="53"/>
        <v>23641.439999999999</v>
      </c>
      <c r="S87" s="49">
        <f>S83+S84+S86</f>
        <v>436</v>
      </c>
      <c r="T87" s="49">
        <f t="shared" si="51"/>
        <v>24077.439999999999</v>
      </c>
    </row>
    <row r="88" spans="2:20" ht="11.1" customHeight="1" x14ac:dyDescent="0.2">
      <c r="B88" s="75" t="s">
        <v>22</v>
      </c>
      <c r="C88" s="76"/>
      <c r="D88" s="49">
        <v>15741</v>
      </c>
      <c r="E88" s="49">
        <v>9189</v>
      </c>
      <c r="F88" s="49">
        <v>5805</v>
      </c>
      <c r="G88" s="49">
        <v>201</v>
      </c>
      <c r="H88" s="49">
        <f t="shared" si="49"/>
        <v>30936</v>
      </c>
      <c r="I88" s="49">
        <v>0</v>
      </c>
      <c r="J88" s="49">
        <f t="shared" si="52"/>
        <v>30936</v>
      </c>
      <c r="L88" s="75" t="s">
        <v>22</v>
      </c>
      <c r="M88" s="76"/>
      <c r="N88" s="49">
        <f>D88-D58</f>
        <v>5307</v>
      </c>
      <c r="O88" s="49">
        <f>E88-E58</f>
        <v>3126</v>
      </c>
      <c r="P88" s="49">
        <f>F88-F58</f>
        <v>1926</v>
      </c>
      <c r="Q88" s="49">
        <f>G88-G58</f>
        <v>201</v>
      </c>
      <c r="R88" s="49">
        <f t="shared" si="53"/>
        <v>10560</v>
      </c>
      <c r="S88" s="49">
        <f>I88-I58</f>
        <v>0</v>
      </c>
      <c r="T88" s="49">
        <f t="shared" si="51"/>
        <v>10560</v>
      </c>
    </row>
    <row r="89" spans="2:20" ht="11.1" customHeight="1" x14ac:dyDescent="0.2">
      <c r="B89" s="239" t="s">
        <v>23</v>
      </c>
      <c r="C89" s="240"/>
      <c r="D89" s="49">
        <f>D87+D88</f>
        <v>38917</v>
      </c>
      <c r="E89" s="49">
        <f t="shared" ref="E89:G89" si="57">E87+E88</f>
        <v>20204</v>
      </c>
      <c r="F89" s="49">
        <f t="shared" si="57"/>
        <v>41805</v>
      </c>
      <c r="G89" s="49">
        <f t="shared" si="57"/>
        <v>-1671</v>
      </c>
      <c r="H89" s="49">
        <f t="shared" si="49"/>
        <v>99255</v>
      </c>
      <c r="I89" s="49">
        <f t="shared" ref="I89" si="58">I87+I88</f>
        <v>1274</v>
      </c>
      <c r="J89" s="49">
        <f t="shared" si="52"/>
        <v>100529</v>
      </c>
      <c r="L89" s="239" t="s">
        <v>23</v>
      </c>
      <c r="M89" s="240"/>
      <c r="N89" s="49">
        <f>N87+N88</f>
        <v>13639</v>
      </c>
      <c r="O89" s="49">
        <f t="shared" ref="O89:Q89" si="59">O87+O88</f>
        <v>4117</v>
      </c>
      <c r="P89" s="49">
        <f t="shared" si="59"/>
        <v>16648</v>
      </c>
      <c r="Q89" s="49">
        <f t="shared" si="59"/>
        <v>-202.55999999999995</v>
      </c>
      <c r="R89" s="49">
        <f t="shared" si="53"/>
        <v>34201.440000000002</v>
      </c>
      <c r="S89" s="49">
        <f>S87+S88</f>
        <v>436</v>
      </c>
      <c r="T89" s="49">
        <f t="shared" si="51"/>
        <v>34637.440000000002</v>
      </c>
    </row>
    <row r="90" spans="2:20" ht="11.1" customHeight="1" x14ac:dyDescent="0.2">
      <c r="B90" s="48" t="s">
        <v>193</v>
      </c>
      <c r="C90" s="72"/>
      <c r="D90" s="48"/>
      <c r="E90" s="48"/>
      <c r="F90" s="48"/>
      <c r="G90" s="48"/>
      <c r="H90" s="48"/>
      <c r="I90" s="48"/>
      <c r="J90" s="79"/>
      <c r="L90" s="48" t="s">
        <v>193</v>
      </c>
      <c r="M90" s="72"/>
      <c r="N90" s="48"/>
      <c r="O90" s="48"/>
      <c r="P90" s="48"/>
      <c r="Q90" s="48"/>
      <c r="R90" s="48"/>
      <c r="S90" s="48"/>
      <c r="T90" s="79"/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79"/>
      <c r="L91" s="48"/>
      <c r="M91" s="72"/>
      <c r="N91" s="48"/>
      <c r="O91" s="48"/>
      <c r="P91" s="48"/>
      <c r="Q91" s="48"/>
      <c r="R91" s="48"/>
      <c r="S91" s="48"/>
      <c r="T91" s="79"/>
    </row>
    <row r="92" spans="2:20" ht="11.1" customHeight="1" x14ac:dyDescent="0.2">
      <c r="B92" s="174" t="s">
        <v>59</v>
      </c>
      <c r="C92" s="247"/>
      <c r="D92" s="244" t="s">
        <v>194</v>
      </c>
      <c r="E92" s="244" t="s">
        <v>195</v>
      </c>
      <c r="F92" s="244" t="s">
        <v>196</v>
      </c>
      <c r="G92" s="244" t="s">
        <v>197</v>
      </c>
      <c r="H92" s="244" t="s">
        <v>198</v>
      </c>
      <c r="I92" s="244" t="s">
        <v>199</v>
      </c>
      <c r="J92" s="244" t="s">
        <v>200</v>
      </c>
      <c r="L92" s="174" t="s">
        <v>59</v>
      </c>
      <c r="M92" s="247"/>
      <c r="N92" s="244" t="s">
        <v>194</v>
      </c>
      <c r="O92" s="244" t="s">
        <v>195</v>
      </c>
      <c r="P92" s="244" t="s">
        <v>196</v>
      </c>
      <c r="Q92" s="244" t="s">
        <v>197</v>
      </c>
      <c r="R92" s="244" t="s">
        <v>198</v>
      </c>
      <c r="S92" s="244" t="s">
        <v>199</v>
      </c>
      <c r="T92" s="244" t="s">
        <v>200</v>
      </c>
    </row>
    <row r="93" spans="2:20" ht="11.1" customHeight="1" x14ac:dyDescent="0.2">
      <c r="B93" s="248"/>
      <c r="C93" s="249"/>
      <c r="D93" s="245"/>
      <c r="E93" s="245"/>
      <c r="F93" s="245"/>
      <c r="G93" s="245"/>
      <c r="H93" s="245"/>
      <c r="I93" s="245"/>
      <c r="J93" s="246"/>
      <c r="L93" s="248"/>
      <c r="M93" s="249"/>
      <c r="N93" s="245"/>
      <c r="O93" s="245"/>
      <c r="P93" s="245"/>
      <c r="Q93" s="245"/>
      <c r="R93" s="245"/>
      <c r="S93" s="245"/>
      <c r="T93" s="246"/>
    </row>
    <row r="94" spans="2:20" ht="11.1" customHeight="1" x14ac:dyDescent="0.2">
      <c r="B94" s="250" t="s">
        <v>217</v>
      </c>
      <c r="C94" s="251"/>
      <c r="D94" s="251"/>
      <c r="E94" s="251"/>
      <c r="F94" s="251"/>
      <c r="G94" s="251"/>
      <c r="H94" s="73"/>
      <c r="I94" s="73"/>
      <c r="J94" s="80"/>
      <c r="L94" s="250" t="s">
        <v>218</v>
      </c>
      <c r="M94" s="251"/>
      <c r="N94" s="251"/>
      <c r="O94" s="251"/>
      <c r="P94" s="251"/>
      <c r="Q94" s="251"/>
      <c r="R94" s="73"/>
      <c r="S94" s="73"/>
      <c r="T94" s="80"/>
    </row>
    <row r="95" spans="2:20" ht="11.1" customHeight="1" x14ac:dyDescent="0.2">
      <c r="B95" s="241" t="s">
        <v>202</v>
      </c>
      <c r="C95" s="241"/>
      <c r="D95" s="52">
        <v>377271</v>
      </c>
      <c r="E95" s="52">
        <v>243547</v>
      </c>
      <c r="F95" s="52">
        <v>256775</v>
      </c>
      <c r="G95" s="52"/>
      <c r="H95" s="52">
        <f t="shared" ref="H95:H106" si="60">SUM(D95:G95)</f>
        <v>877593</v>
      </c>
      <c r="I95" s="52"/>
      <c r="J95" s="52">
        <f>H95+I95</f>
        <v>877593</v>
      </c>
      <c r="L95" s="241" t="s">
        <v>202</v>
      </c>
      <c r="M95" s="241"/>
      <c r="N95" s="52">
        <f t="shared" ref="N95:Q96" si="61">D95-D65</f>
        <v>97657</v>
      </c>
      <c r="O95" s="52">
        <f t="shared" si="61"/>
        <v>69001</v>
      </c>
      <c r="P95" s="52">
        <f t="shared" si="61"/>
        <v>67179</v>
      </c>
      <c r="Q95" s="52">
        <f t="shared" si="61"/>
        <v>0</v>
      </c>
      <c r="R95" s="52">
        <f>SUM(N95:Q95)</f>
        <v>233837</v>
      </c>
      <c r="S95" s="52">
        <f>I95-I65</f>
        <v>0</v>
      </c>
      <c r="T95" s="52">
        <f t="shared" ref="T95:T106" si="62">R95+S95</f>
        <v>233837</v>
      </c>
    </row>
    <row r="96" spans="2:20" ht="11.1" customHeight="1" x14ac:dyDescent="0.2">
      <c r="B96" s="241" t="s">
        <v>33</v>
      </c>
      <c r="C96" s="241"/>
      <c r="D96" s="52">
        <v>281978</v>
      </c>
      <c r="E96" s="52">
        <v>186067</v>
      </c>
      <c r="F96" s="52">
        <v>171786</v>
      </c>
      <c r="G96" s="52"/>
      <c r="H96" s="52">
        <f t="shared" si="60"/>
        <v>639831</v>
      </c>
      <c r="I96" s="52"/>
      <c r="J96" s="52">
        <f t="shared" ref="J96:J106" si="63">H96+I96</f>
        <v>639831</v>
      </c>
      <c r="L96" s="241" t="s">
        <v>33</v>
      </c>
      <c r="M96" s="241"/>
      <c r="N96" s="52">
        <f t="shared" si="61"/>
        <v>79754</v>
      </c>
      <c r="O96" s="52">
        <f t="shared" si="61"/>
        <v>51429</v>
      </c>
      <c r="P96" s="52">
        <f t="shared" si="61"/>
        <v>51305</v>
      </c>
      <c r="Q96" s="52">
        <f t="shared" si="61"/>
        <v>0</v>
      </c>
      <c r="R96" s="52">
        <f t="shared" ref="R96:R106" si="64">SUM(N96:Q96)</f>
        <v>182488</v>
      </c>
      <c r="S96" s="52">
        <f>I96-I66</f>
        <v>0</v>
      </c>
      <c r="T96" s="52">
        <f t="shared" si="62"/>
        <v>182488</v>
      </c>
    </row>
    <row r="97" spans="2:20" ht="11.1" customHeight="1" x14ac:dyDescent="0.2">
      <c r="B97" s="238" t="s">
        <v>203</v>
      </c>
      <c r="C97" s="238"/>
      <c r="D97" s="49">
        <f>D95-D96</f>
        <v>95293</v>
      </c>
      <c r="E97" s="49">
        <f>E95-E96</f>
        <v>57480</v>
      </c>
      <c r="F97" s="49">
        <f>F95-F96</f>
        <v>84989</v>
      </c>
      <c r="G97" s="49">
        <f>G95-G96</f>
        <v>0</v>
      </c>
      <c r="H97" s="49">
        <f t="shared" si="60"/>
        <v>237762</v>
      </c>
      <c r="I97" s="49">
        <f>I95-I96</f>
        <v>0</v>
      </c>
      <c r="J97" s="49">
        <f t="shared" si="63"/>
        <v>237762</v>
      </c>
      <c r="L97" s="238" t="s">
        <v>203</v>
      </c>
      <c r="M97" s="238"/>
      <c r="N97" s="49">
        <f>N95-N96</f>
        <v>17903</v>
      </c>
      <c r="O97" s="49">
        <f>O95-O96</f>
        <v>17572</v>
      </c>
      <c r="P97" s="49">
        <f>P95-P96</f>
        <v>15874</v>
      </c>
      <c r="Q97" s="49">
        <f>Q95-Q96</f>
        <v>0</v>
      </c>
      <c r="R97" s="49">
        <f t="shared" si="64"/>
        <v>51349</v>
      </c>
      <c r="S97" s="49">
        <f>S95-S96</f>
        <v>0</v>
      </c>
      <c r="T97" s="49">
        <f t="shared" si="62"/>
        <v>51349</v>
      </c>
    </row>
    <row r="98" spans="2:20" ht="11.1" customHeight="1" x14ac:dyDescent="0.2">
      <c r="B98" s="171" t="s">
        <v>4</v>
      </c>
      <c r="C98" s="172"/>
      <c r="D98" s="52">
        <v>16461</v>
      </c>
      <c r="E98" s="52">
        <v>6418</v>
      </c>
      <c r="F98" s="52">
        <v>16518</v>
      </c>
      <c r="G98" s="52">
        <v>357</v>
      </c>
      <c r="H98" s="52">
        <f t="shared" si="60"/>
        <v>39754</v>
      </c>
      <c r="I98" s="52"/>
      <c r="J98" s="52">
        <f t="shared" si="63"/>
        <v>39754</v>
      </c>
      <c r="L98" s="171" t="s">
        <v>4</v>
      </c>
      <c r="M98" s="172"/>
      <c r="N98" s="52">
        <f t="shared" ref="N98:Q99" si="65">D98-D68</f>
        <v>4089</v>
      </c>
      <c r="O98" s="52">
        <f t="shared" si="65"/>
        <v>1980</v>
      </c>
      <c r="P98" s="52">
        <f t="shared" si="65"/>
        <v>4897</v>
      </c>
      <c r="Q98" s="52">
        <f t="shared" si="65"/>
        <v>74</v>
      </c>
      <c r="R98" s="52">
        <f t="shared" si="64"/>
        <v>11040</v>
      </c>
      <c r="S98" s="52">
        <f>I98-I68</f>
        <v>0</v>
      </c>
      <c r="T98" s="52">
        <f t="shared" si="62"/>
        <v>11040</v>
      </c>
    </row>
    <row r="99" spans="2:20" ht="11.1" customHeight="1" x14ac:dyDescent="0.2">
      <c r="B99" s="171" t="s">
        <v>5</v>
      </c>
      <c r="C99" s="172"/>
      <c r="D99" s="52">
        <v>56443</v>
      </c>
      <c r="E99" s="52">
        <v>24813</v>
      </c>
      <c r="F99" s="52">
        <v>39408</v>
      </c>
      <c r="G99" s="52">
        <v>2810</v>
      </c>
      <c r="H99" s="52">
        <f t="shared" si="60"/>
        <v>123474</v>
      </c>
      <c r="I99" s="52"/>
      <c r="J99" s="52">
        <f t="shared" si="63"/>
        <v>123474</v>
      </c>
      <c r="L99" s="171" t="s">
        <v>5</v>
      </c>
      <c r="M99" s="172"/>
      <c r="N99" s="52">
        <f t="shared" si="65"/>
        <v>13479</v>
      </c>
      <c r="O99" s="52">
        <f t="shared" si="65"/>
        <v>6205</v>
      </c>
      <c r="P99" s="52">
        <f t="shared" si="65"/>
        <v>9746</v>
      </c>
      <c r="Q99" s="52">
        <f t="shared" si="65"/>
        <v>647</v>
      </c>
      <c r="R99" s="52">
        <f t="shared" si="64"/>
        <v>30077</v>
      </c>
      <c r="S99" s="52">
        <f>I99-I69</f>
        <v>0</v>
      </c>
      <c r="T99" s="52">
        <f t="shared" si="62"/>
        <v>30077</v>
      </c>
    </row>
    <row r="100" spans="2:20" ht="11.1" customHeight="1" x14ac:dyDescent="0.2">
      <c r="B100" s="238" t="s">
        <v>204</v>
      </c>
      <c r="C100" s="238"/>
      <c r="D100" s="49">
        <f>D97-D98-D99</f>
        <v>22389</v>
      </c>
      <c r="E100" s="49">
        <f>E97-E98-E99</f>
        <v>26249</v>
      </c>
      <c r="F100" s="49">
        <f>F97-F98-F99</f>
        <v>29063</v>
      </c>
      <c r="G100" s="49">
        <f>G97-G98-G99</f>
        <v>-3167</v>
      </c>
      <c r="H100" s="49">
        <f t="shared" si="60"/>
        <v>74534</v>
      </c>
      <c r="I100" s="49">
        <f>I97-I98-I99</f>
        <v>0</v>
      </c>
      <c r="J100" s="49">
        <f t="shared" si="63"/>
        <v>74534</v>
      </c>
      <c r="L100" s="238" t="s">
        <v>204</v>
      </c>
      <c r="M100" s="238"/>
      <c r="N100" s="49">
        <f>N97-N98-N99</f>
        <v>335</v>
      </c>
      <c r="O100" s="49">
        <f>O97-O98-O99</f>
        <v>9387</v>
      </c>
      <c r="P100" s="49">
        <f>P97-P98-P99</f>
        <v>1231</v>
      </c>
      <c r="Q100" s="49">
        <f>Q97-Q98-Q99</f>
        <v>-721</v>
      </c>
      <c r="R100" s="49">
        <f t="shared" si="64"/>
        <v>10232</v>
      </c>
      <c r="S100" s="49">
        <f>S97-S98-S99</f>
        <v>0</v>
      </c>
      <c r="T100" s="49">
        <f t="shared" si="62"/>
        <v>10232</v>
      </c>
    </row>
    <row r="101" spans="2:20" ht="11.1" customHeight="1" x14ac:dyDescent="0.2">
      <c r="B101" s="171" t="s">
        <v>205</v>
      </c>
      <c r="C101" s="172"/>
      <c r="D101" s="52">
        <v>1044</v>
      </c>
      <c r="E101" s="52">
        <v>1964</v>
      </c>
      <c r="F101" s="52">
        <v>-2518</v>
      </c>
      <c r="G101" s="52">
        <v>0</v>
      </c>
      <c r="H101" s="52">
        <f t="shared" si="60"/>
        <v>490</v>
      </c>
      <c r="I101" s="52">
        <v>0</v>
      </c>
      <c r="J101" s="52">
        <f t="shared" si="63"/>
        <v>490</v>
      </c>
      <c r="L101" s="171" t="s">
        <v>205</v>
      </c>
      <c r="M101" s="172"/>
      <c r="N101" s="52">
        <f t="shared" ref="N101:Q103" si="66">D101-D71</f>
        <v>5666</v>
      </c>
      <c r="O101" s="52">
        <f t="shared" si="66"/>
        <v>167</v>
      </c>
      <c r="P101" s="52">
        <f t="shared" si="66"/>
        <v>-476</v>
      </c>
      <c r="Q101" s="52">
        <f t="shared" si="66"/>
        <v>0</v>
      </c>
      <c r="R101" s="52">
        <f t="shared" si="64"/>
        <v>5357</v>
      </c>
      <c r="S101" s="52">
        <f>I101-I71</f>
        <v>0</v>
      </c>
      <c r="T101" s="52">
        <f t="shared" si="62"/>
        <v>5357</v>
      </c>
    </row>
    <row r="102" spans="2:20" ht="11.1" customHeight="1" x14ac:dyDescent="0.2">
      <c r="B102" s="180" t="s">
        <v>206</v>
      </c>
      <c r="C102" s="172"/>
      <c r="D102" s="52">
        <v>0</v>
      </c>
      <c r="E102" s="52">
        <v>-277</v>
      </c>
      <c r="F102" s="52">
        <v>1670</v>
      </c>
      <c r="G102" s="52">
        <v>0</v>
      </c>
      <c r="H102" s="52">
        <f t="shared" si="60"/>
        <v>1393</v>
      </c>
      <c r="I102" s="52"/>
      <c r="J102" s="52">
        <f t="shared" si="63"/>
        <v>1393</v>
      </c>
      <c r="L102" s="180" t="s">
        <v>206</v>
      </c>
      <c r="M102" s="172"/>
      <c r="N102" s="52">
        <f t="shared" si="66"/>
        <v>0</v>
      </c>
      <c r="O102" s="52">
        <f t="shared" si="66"/>
        <v>-277</v>
      </c>
      <c r="P102" s="52">
        <f t="shared" si="66"/>
        <v>504</v>
      </c>
      <c r="Q102" s="52">
        <f t="shared" si="66"/>
        <v>0</v>
      </c>
      <c r="R102" s="52">
        <f t="shared" si="64"/>
        <v>227</v>
      </c>
      <c r="S102" s="52">
        <f>I102-I72</f>
        <v>0</v>
      </c>
      <c r="T102" s="52">
        <f t="shared" si="62"/>
        <v>227</v>
      </c>
    </row>
    <row r="103" spans="2:20" ht="11.1" customHeight="1" x14ac:dyDescent="0.2">
      <c r="B103" s="180" t="s">
        <v>27</v>
      </c>
      <c r="C103" s="172"/>
      <c r="D103" s="52"/>
      <c r="E103" s="52"/>
      <c r="F103" s="52"/>
      <c r="G103" s="52"/>
      <c r="H103" s="52">
        <f t="shared" si="60"/>
        <v>0</v>
      </c>
      <c r="I103" s="52">
        <v>0</v>
      </c>
      <c r="J103" s="52">
        <f t="shared" si="63"/>
        <v>0</v>
      </c>
      <c r="L103" s="180" t="s">
        <v>27</v>
      </c>
      <c r="M103" s="172"/>
      <c r="N103" s="52">
        <f t="shared" si="66"/>
        <v>0</v>
      </c>
      <c r="O103" s="52">
        <f t="shared" si="66"/>
        <v>0</v>
      </c>
      <c r="P103" s="52">
        <f t="shared" si="66"/>
        <v>0</v>
      </c>
      <c r="Q103" s="52">
        <f t="shared" si="66"/>
        <v>0</v>
      </c>
      <c r="R103" s="52">
        <f t="shared" si="64"/>
        <v>0</v>
      </c>
      <c r="S103" s="52">
        <f>I103-I73</f>
        <v>0</v>
      </c>
      <c r="T103" s="52">
        <f t="shared" si="62"/>
        <v>0</v>
      </c>
    </row>
    <row r="104" spans="2:20" ht="11.1" customHeight="1" x14ac:dyDescent="0.2">
      <c r="B104" s="238" t="s">
        <v>207</v>
      </c>
      <c r="C104" s="238"/>
      <c r="D104" s="49">
        <f>D100+D101+D102+D103</f>
        <v>23433</v>
      </c>
      <c r="E104" s="49">
        <f>E100+E101+E102+E103</f>
        <v>27936</v>
      </c>
      <c r="F104" s="49">
        <f>F100+F101+F102+F103</f>
        <v>28215</v>
      </c>
      <c r="G104" s="49">
        <f>G100+G101+G102+G103</f>
        <v>-3167</v>
      </c>
      <c r="H104" s="49">
        <f t="shared" si="60"/>
        <v>76417</v>
      </c>
      <c r="I104" s="49">
        <f>I100+I101+I103</f>
        <v>0</v>
      </c>
      <c r="J104" s="49">
        <f>H104+I104</f>
        <v>76417</v>
      </c>
      <c r="L104" s="238" t="s">
        <v>207</v>
      </c>
      <c r="M104" s="238"/>
      <c r="N104" s="49">
        <f t="shared" ref="N104:Q104" si="67">N100+N101+N102+N103</f>
        <v>6001</v>
      </c>
      <c r="O104" s="49">
        <f t="shared" si="67"/>
        <v>9277</v>
      </c>
      <c r="P104" s="49">
        <f t="shared" si="67"/>
        <v>1259</v>
      </c>
      <c r="Q104" s="49">
        <f t="shared" si="67"/>
        <v>-721</v>
      </c>
      <c r="R104" s="49">
        <f t="shared" si="64"/>
        <v>15816</v>
      </c>
      <c r="S104" s="49">
        <f>S100+S101+S103</f>
        <v>0</v>
      </c>
      <c r="T104" s="49">
        <f t="shared" si="62"/>
        <v>15816</v>
      </c>
    </row>
    <row r="105" spans="2:20" ht="11.1" customHeight="1" x14ac:dyDescent="0.2">
      <c r="B105" s="75" t="s">
        <v>22</v>
      </c>
      <c r="C105" s="76"/>
      <c r="D105" s="49">
        <v>24950</v>
      </c>
      <c r="E105" s="49">
        <v>15415</v>
      </c>
      <c r="F105" s="49">
        <v>9506</v>
      </c>
      <c r="G105" s="49">
        <v>0</v>
      </c>
      <c r="H105" s="49">
        <f t="shared" si="60"/>
        <v>49871</v>
      </c>
      <c r="I105" s="49">
        <v>0</v>
      </c>
      <c r="J105" s="49">
        <f t="shared" si="63"/>
        <v>49871</v>
      </c>
      <c r="L105" s="75" t="s">
        <v>22</v>
      </c>
      <c r="M105" s="76"/>
      <c r="N105" s="49">
        <f>D105-D75</f>
        <v>6426</v>
      </c>
      <c r="O105" s="49">
        <f>E105-E75</f>
        <v>3718</v>
      </c>
      <c r="P105" s="49">
        <f>F105-F75</f>
        <v>2695</v>
      </c>
      <c r="Q105" s="49">
        <f>G105-G75</f>
        <v>0</v>
      </c>
      <c r="R105" s="49">
        <f t="shared" si="64"/>
        <v>12839</v>
      </c>
      <c r="S105" s="49">
        <f>I105-I75</f>
        <v>0</v>
      </c>
      <c r="T105" s="49">
        <f t="shared" si="62"/>
        <v>12839</v>
      </c>
    </row>
    <row r="106" spans="2:20" ht="11.1" customHeight="1" x14ac:dyDescent="0.2">
      <c r="B106" s="239" t="s">
        <v>23</v>
      </c>
      <c r="C106" s="240"/>
      <c r="D106" s="49">
        <f>D104+D105</f>
        <v>48383</v>
      </c>
      <c r="E106" s="49">
        <f t="shared" ref="E106:G106" si="68">E104+E105</f>
        <v>43351</v>
      </c>
      <c r="F106" s="49">
        <f t="shared" si="68"/>
        <v>37721</v>
      </c>
      <c r="G106" s="49">
        <f t="shared" si="68"/>
        <v>-3167</v>
      </c>
      <c r="H106" s="49">
        <f t="shared" si="60"/>
        <v>126288</v>
      </c>
      <c r="I106" s="49">
        <f>I104+I105</f>
        <v>0</v>
      </c>
      <c r="J106" s="49">
        <f t="shared" si="63"/>
        <v>126288</v>
      </c>
      <c r="L106" s="239" t="s">
        <v>23</v>
      </c>
      <c r="M106" s="240"/>
      <c r="N106" s="49">
        <f>N104+N105</f>
        <v>12427</v>
      </c>
      <c r="O106" s="49">
        <f t="shared" ref="O106:Q106" si="69">O104+O105</f>
        <v>12995</v>
      </c>
      <c r="P106" s="49">
        <f t="shared" si="69"/>
        <v>3954</v>
      </c>
      <c r="Q106" s="49">
        <f t="shared" si="69"/>
        <v>-721</v>
      </c>
      <c r="R106" s="49">
        <f t="shared" si="64"/>
        <v>28655</v>
      </c>
      <c r="S106" s="49">
        <f>S104+S105</f>
        <v>0</v>
      </c>
      <c r="T106" s="49">
        <f t="shared" si="62"/>
        <v>28655</v>
      </c>
    </row>
    <row r="107" spans="2:20" ht="11.1" customHeight="1" x14ac:dyDescent="0.2">
      <c r="B107" s="242" t="s">
        <v>219</v>
      </c>
      <c r="C107" s="243"/>
      <c r="D107" s="243"/>
      <c r="E107" s="243"/>
      <c r="F107" s="243"/>
      <c r="G107" s="243"/>
      <c r="H107" s="73"/>
      <c r="I107" s="73"/>
      <c r="J107" s="80"/>
      <c r="L107" s="242" t="s">
        <v>220</v>
      </c>
      <c r="M107" s="243"/>
      <c r="N107" s="243"/>
      <c r="O107" s="243"/>
      <c r="P107" s="243"/>
      <c r="Q107" s="243"/>
      <c r="R107" s="73"/>
      <c r="S107" s="73"/>
      <c r="T107" s="80"/>
    </row>
    <row r="108" spans="2:20" ht="11.1" customHeight="1" x14ac:dyDescent="0.2">
      <c r="B108" s="241" t="s">
        <v>202</v>
      </c>
      <c r="C108" s="241"/>
      <c r="D108" s="52">
        <v>385922</v>
      </c>
      <c r="E108" s="52">
        <v>183536</v>
      </c>
      <c r="F108" s="52">
        <v>258344</v>
      </c>
      <c r="G108" s="52"/>
      <c r="H108" s="52">
        <f t="shared" ref="H108:H119" si="70">SUM(D108:G108)</f>
        <v>827802</v>
      </c>
      <c r="I108" s="52">
        <v>16241</v>
      </c>
      <c r="J108" s="52">
        <f>H108+I108</f>
        <v>844043</v>
      </c>
      <c r="L108" s="241" t="s">
        <v>202</v>
      </c>
      <c r="M108" s="241"/>
      <c r="N108" s="52">
        <f t="shared" ref="N108:Q109" si="71">D108-D78</f>
        <v>115307</v>
      </c>
      <c r="O108" s="52">
        <f t="shared" si="71"/>
        <v>48609</v>
      </c>
      <c r="P108" s="52">
        <f t="shared" si="71"/>
        <v>77173</v>
      </c>
      <c r="Q108" s="52">
        <f t="shared" si="71"/>
        <v>0</v>
      </c>
      <c r="R108" s="52">
        <f>SUM(N108:Q108)</f>
        <v>241089</v>
      </c>
      <c r="S108" s="52">
        <f>I108-I78</f>
        <v>2274</v>
      </c>
      <c r="T108" s="52">
        <f t="shared" ref="T108:T119" si="72">R108+S108</f>
        <v>243363</v>
      </c>
    </row>
    <row r="109" spans="2:20" ht="11.1" customHeight="1" x14ac:dyDescent="0.2">
      <c r="B109" s="241" t="s">
        <v>33</v>
      </c>
      <c r="C109" s="241"/>
      <c r="D109" s="52">
        <v>266876</v>
      </c>
      <c r="E109" s="52">
        <v>142552</v>
      </c>
      <c r="F109" s="52">
        <v>159469</v>
      </c>
      <c r="G109" s="52"/>
      <c r="H109" s="52">
        <f t="shared" si="70"/>
        <v>568897</v>
      </c>
      <c r="I109" s="52">
        <v>14619</v>
      </c>
      <c r="J109" s="52">
        <f t="shared" ref="J109:J119" si="73">H109+I109</f>
        <v>583516</v>
      </c>
      <c r="L109" s="241" t="s">
        <v>33</v>
      </c>
      <c r="M109" s="241"/>
      <c r="N109" s="52">
        <f t="shared" si="71"/>
        <v>77089</v>
      </c>
      <c r="O109" s="52">
        <f t="shared" si="71"/>
        <v>39627</v>
      </c>
      <c r="P109" s="52">
        <f t="shared" si="71"/>
        <v>51822</v>
      </c>
      <c r="Q109" s="52">
        <f t="shared" si="71"/>
        <v>0</v>
      </c>
      <c r="R109" s="52">
        <f t="shared" ref="R109:R119" si="74">SUM(N109:Q109)</f>
        <v>168538</v>
      </c>
      <c r="S109" s="52">
        <f>I109-I79</f>
        <v>2094</v>
      </c>
      <c r="T109" s="52">
        <f t="shared" si="72"/>
        <v>170632</v>
      </c>
    </row>
    <row r="110" spans="2:20" ht="11.1" customHeight="1" x14ac:dyDescent="0.2">
      <c r="B110" s="238" t="s">
        <v>203</v>
      </c>
      <c r="C110" s="238"/>
      <c r="D110" s="49">
        <f>D108-D109</f>
        <v>119046</v>
      </c>
      <c r="E110" s="49">
        <f>E108-E109</f>
        <v>40984</v>
      </c>
      <c r="F110" s="49">
        <f>F108-F109</f>
        <v>98875</v>
      </c>
      <c r="G110" s="49">
        <f>G108-G109</f>
        <v>0</v>
      </c>
      <c r="H110" s="49">
        <f t="shared" si="70"/>
        <v>258905</v>
      </c>
      <c r="I110" s="49">
        <f>I108-I109</f>
        <v>1622</v>
      </c>
      <c r="J110" s="49">
        <f t="shared" si="73"/>
        <v>260527</v>
      </c>
      <c r="L110" s="238" t="s">
        <v>203</v>
      </c>
      <c r="M110" s="238"/>
      <c r="N110" s="49">
        <f>N108-N109</f>
        <v>38218</v>
      </c>
      <c r="O110" s="49">
        <f>O108-O109</f>
        <v>8982</v>
      </c>
      <c r="P110" s="49">
        <f>P108-P109</f>
        <v>25351</v>
      </c>
      <c r="Q110" s="49">
        <f>Q108-Q109</f>
        <v>0</v>
      </c>
      <c r="R110" s="49">
        <f t="shared" si="74"/>
        <v>72551</v>
      </c>
      <c r="S110" s="49">
        <f>S108-S109</f>
        <v>180</v>
      </c>
      <c r="T110" s="49">
        <f t="shared" si="72"/>
        <v>72731</v>
      </c>
    </row>
    <row r="111" spans="2:20" ht="11.1" customHeight="1" x14ac:dyDescent="0.2">
      <c r="B111" s="171" t="s">
        <v>4</v>
      </c>
      <c r="C111" s="172"/>
      <c r="D111" s="52">
        <v>17308</v>
      </c>
      <c r="E111" s="52">
        <v>5903</v>
      </c>
      <c r="F111" s="52">
        <v>18572</v>
      </c>
      <c r="G111" s="52">
        <v>240</v>
      </c>
      <c r="H111" s="52">
        <f t="shared" si="70"/>
        <v>42023</v>
      </c>
      <c r="I111" s="52">
        <v>218</v>
      </c>
      <c r="J111" s="52">
        <f t="shared" si="73"/>
        <v>42241</v>
      </c>
      <c r="L111" s="171" t="s">
        <v>4</v>
      </c>
      <c r="M111" s="172"/>
      <c r="N111" s="52">
        <f t="shared" ref="N111:Q112" si="75">D111-D81</f>
        <v>4975</v>
      </c>
      <c r="O111" s="52">
        <f t="shared" si="75"/>
        <v>1564</v>
      </c>
      <c r="P111" s="52">
        <f t="shared" si="75"/>
        <v>6627</v>
      </c>
      <c r="Q111" s="52">
        <f t="shared" si="75"/>
        <v>60</v>
      </c>
      <c r="R111" s="52">
        <f t="shared" si="74"/>
        <v>13226</v>
      </c>
      <c r="S111" s="52">
        <f>I111-I81</f>
        <v>50</v>
      </c>
      <c r="T111" s="52">
        <f t="shared" si="72"/>
        <v>13276</v>
      </c>
    </row>
    <row r="112" spans="2:20" ht="11.1" customHeight="1" x14ac:dyDescent="0.2">
      <c r="B112" s="171" t="s">
        <v>5</v>
      </c>
      <c r="C112" s="172"/>
      <c r="D112" s="52">
        <v>57631</v>
      </c>
      <c r="E112" s="52">
        <v>22123</v>
      </c>
      <c r="F112" s="52">
        <v>36779</v>
      </c>
      <c r="G112" s="52">
        <f>2580+899</f>
        <v>3479</v>
      </c>
      <c r="H112" s="52">
        <f t="shared" si="70"/>
        <v>120012</v>
      </c>
      <c r="I112" s="52">
        <v>0</v>
      </c>
      <c r="J112" s="52">
        <f t="shared" si="73"/>
        <v>120012</v>
      </c>
      <c r="L112" s="171" t="s">
        <v>5</v>
      </c>
      <c r="M112" s="172"/>
      <c r="N112" s="52">
        <f t="shared" si="75"/>
        <v>15116</v>
      </c>
      <c r="O112" s="52">
        <f t="shared" si="75"/>
        <v>5311</v>
      </c>
      <c r="P112" s="52">
        <f t="shared" si="75"/>
        <v>10837</v>
      </c>
      <c r="Q112" s="52">
        <f t="shared" si="75"/>
        <v>942</v>
      </c>
      <c r="R112" s="52">
        <f t="shared" si="74"/>
        <v>32206</v>
      </c>
      <c r="S112" s="52">
        <f>I112-I82</f>
        <v>0</v>
      </c>
      <c r="T112" s="52">
        <f t="shared" si="72"/>
        <v>32206</v>
      </c>
    </row>
    <row r="113" spans="2:20" ht="11.1" customHeight="1" x14ac:dyDescent="0.2">
      <c r="B113" s="238" t="s">
        <v>204</v>
      </c>
      <c r="C113" s="238"/>
      <c r="D113" s="49">
        <f>D110-D111-D112</f>
        <v>44107</v>
      </c>
      <c r="E113" s="49">
        <f>E110-E111-E112</f>
        <v>12958</v>
      </c>
      <c r="F113" s="49">
        <f>F110-F111-F112</f>
        <v>43524</v>
      </c>
      <c r="G113" s="49">
        <f>G110-G111-G112</f>
        <v>-3719</v>
      </c>
      <c r="H113" s="49">
        <f t="shared" si="70"/>
        <v>96870</v>
      </c>
      <c r="I113" s="49">
        <f>I110-I111-I112</f>
        <v>1404</v>
      </c>
      <c r="J113" s="49">
        <f t="shared" si="73"/>
        <v>98274</v>
      </c>
      <c r="L113" s="238" t="s">
        <v>204</v>
      </c>
      <c r="M113" s="238"/>
      <c r="N113" s="49">
        <f>N110-N111-N112</f>
        <v>18127</v>
      </c>
      <c r="O113" s="49">
        <f>O110-O111-O112</f>
        <v>2107</v>
      </c>
      <c r="P113" s="49">
        <f>P110-P111-P112</f>
        <v>7887</v>
      </c>
      <c r="Q113" s="49">
        <f>Q110-Q111-Q112</f>
        <v>-1002</v>
      </c>
      <c r="R113" s="49">
        <f t="shared" si="74"/>
        <v>27119</v>
      </c>
      <c r="S113" s="49">
        <f>S110-S111-S112</f>
        <v>130</v>
      </c>
      <c r="T113" s="49">
        <f t="shared" si="72"/>
        <v>27249</v>
      </c>
    </row>
    <row r="114" spans="2:20" ht="11.1" customHeight="1" x14ac:dyDescent="0.2">
      <c r="B114" s="171" t="s">
        <v>205</v>
      </c>
      <c r="C114" s="172"/>
      <c r="D114" s="52">
        <v>-6162</v>
      </c>
      <c r="E114" s="52">
        <v>589</v>
      </c>
      <c r="F114" s="52">
        <v>-2485</v>
      </c>
      <c r="G114" s="52">
        <v>971</v>
      </c>
      <c r="H114" s="52">
        <f t="shared" si="70"/>
        <v>-7087</v>
      </c>
      <c r="I114" s="52"/>
      <c r="J114" s="52">
        <f t="shared" si="73"/>
        <v>-7087</v>
      </c>
      <c r="L114" s="171" t="s">
        <v>205</v>
      </c>
      <c r="M114" s="172"/>
      <c r="N114" s="52">
        <f t="shared" ref="N114:Q116" si="76">D114-D84</f>
        <v>-3358</v>
      </c>
      <c r="O114" s="52">
        <f t="shared" si="76"/>
        <v>438</v>
      </c>
      <c r="P114" s="52">
        <f t="shared" si="76"/>
        <v>-1927</v>
      </c>
      <c r="Q114" s="52">
        <f t="shared" si="76"/>
        <v>125</v>
      </c>
      <c r="R114" s="52">
        <f t="shared" si="74"/>
        <v>-4722</v>
      </c>
      <c r="S114" s="52">
        <f>I114-I84</f>
        <v>0</v>
      </c>
      <c r="T114" s="52">
        <f t="shared" si="72"/>
        <v>-4722</v>
      </c>
    </row>
    <row r="115" spans="2:20" ht="11.1" customHeight="1" x14ac:dyDescent="0.2">
      <c r="B115" s="180" t="s">
        <v>206</v>
      </c>
      <c r="C115" s="172"/>
      <c r="D115" s="52"/>
      <c r="E115" s="52">
        <v>22</v>
      </c>
      <c r="F115" s="52">
        <v>1320</v>
      </c>
      <c r="G115" s="52"/>
      <c r="H115" s="52">
        <f t="shared" si="70"/>
        <v>1342</v>
      </c>
      <c r="I115" s="52"/>
      <c r="J115" s="52">
        <f t="shared" si="73"/>
        <v>1342</v>
      </c>
      <c r="L115" s="180" t="s">
        <v>206</v>
      </c>
      <c r="M115" s="172"/>
      <c r="N115" s="52">
        <f t="shared" si="76"/>
        <v>0</v>
      </c>
      <c r="O115" s="52">
        <f t="shared" si="76"/>
        <v>9</v>
      </c>
      <c r="P115" s="52">
        <f t="shared" si="76"/>
        <v>399</v>
      </c>
      <c r="Q115" s="52">
        <f t="shared" si="76"/>
        <v>1</v>
      </c>
      <c r="R115" s="52">
        <f t="shared" si="74"/>
        <v>409</v>
      </c>
      <c r="S115" s="52">
        <f>I115-I85</f>
        <v>0</v>
      </c>
      <c r="T115" s="52">
        <f t="shared" si="72"/>
        <v>409</v>
      </c>
    </row>
    <row r="116" spans="2:20" ht="11.1" customHeight="1" x14ac:dyDescent="0.2">
      <c r="B116" s="180" t="s">
        <v>27</v>
      </c>
      <c r="C116" s="172"/>
      <c r="D116" s="52">
        <v>0</v>
      </c>
      <c r="E116" s="52"/>
      <c r="F116" s="52"/>
      <c r="G116" s="52">
        <v>0</v>
      </c>
      <c r="H116" s="52">
        <f t="shared" si="70"/>
        <v>0</v>
      </c>
      <c r="I116" s="52">
        <v>0</v>
      </c>
      <c r="J116" s="52">
        <f t="shared" si="73"/>
        <v>0</v>
      </c>
      <c r="L116" s="180" t="s">
        <v>27</v>
      </c>
      <c r="M116" s="172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I116-I86</f>
        <v>0</v>
      </c>
      <c r="T116" s="52">
        <f t="shared" si="72"/>
        <v>0</v>
      </c>
    </row>
    <row r="117" spans="2:20" ht="11.1" customHeight="1" x14ac:dyDescent="0.2">
      <c r="B117" s="238" t="s">
        <v>207</v>
      </c>
      <c r="C117" s="238"/>
      <c r="D117" s="49">
        <f>D113+D114+D115+D116</f>
        <v>37945</v>
      </c>
      <c r="E117" s="49">
        <f>E113+E114+E115+E116</f>
        <v>13569</v>
      </c>
      <c r="F117" s="49">
        <f>F113+F114+F115+F116</f>
        <v>42359</v>
      </c>
      <c r="G117" s="49">
        <f>G113+G114+G115+G116</f>
        <v>-2748</v>
      </c>
      <c r="H117" s="49">
        <f t="shared" si="70"/>
        <v>91125</v>
      </c>
      <c r="I117" s="49">
        <f>I113+I114+I116</f>
        <v>1404</v>
      </c>
      <c r="J117" s="49">
        <f t="shared" si="73"/>
        <v>92529</v>
      </c>
      <c r="L117" s="238" t="s">
        <v>207</v>
      </c>
      <c r="M117" s="238"/>
      <c r="N117" s="49">
        <f t="shared" ref="N117:Q117" si="77">N113+N114+N115+N116</f>
        <v>14769</v>
      </c>
      <c r="O117" s="49">
        <f t="shared" si="77"/>
        <v>2554</v>
      </c>
      <c r="P117" s="49">
        <f t="shared" si="77"/>
        <v>6359</v>
      </c>
      <c r="Q117" s="49">
        <f t="shared" si="77"/>
        <v>-876</v>
      </c>
      <c r="R117" s="49">
        <f t="shared" si="74"/>
        <v>22806</v>
      </c>
      <c r="S117" s="49">
        <f>S113+S114+S116</f>
        <v>130</v>
      </c>
      <c r="T117" s="49">
        <f t="shared" si="72"/>
        <v>22936</v>
      </c>
    </row>
    <row r="118" spans="2:20" ht="11.1" customHeight="1" x14ac:dyDescent="0.2">
      <c r="B118" s="75" t="s">
        <v>22</v>
      </c>
      <c r="C118" s="76"/>
      <c r="D118" s="49">
        <v>21390</v>
      </c>
      <c r="E118" s="49">
        <v>12360</v>
      </c>
      <c r="F118" s="49">
        <v>7777</v>
      </c>
      <c r="G118" s="49">
        <v>255</v>
      </c>
      <c r="H118" s="49">
        <f t="shared" si="70"/>
        <v>41782</v>
      </c>
      <c r="I118" s="49"/>
      <c r="J118" s="49">
        <f t="shared" si="73"/>
        <v>41782</v>
      </c>
      <c r="L118" s="75" t="s">
        <v>22</v>
      </c>
      <c r="M118" s="76"/>
      <c r="N118" s="49">
        <f>D118-D88</f>
        <v>5649</v>
      </c>
      <c r="O118" s="49">
        <f>E118-E88</f>
        <v>3171</v>
      </c>
      <c r="P118" s="49">
        <f>F118-F88</f>
        <v>1972</v>
      </c>
      <c r="Q118" s="49">
        <f>G118-G88</f>
        <v>54</v>
      </c>
      <c r="R118" s="49">
        <f t="shared" si="74"/>
        <v>10846</v>
      </c>
      <c r="S118" s="49">
        <f>I118-I88</f>
        <v>0</v>
      </c>
      <c r="T118" s="49">
        <f t="shared" si="72"/>
        <v>10846</v>
      </c>
    </row>
    <row r="119" spans="2:20" ht="11.1" customHeight="1" x14ac:dyDescent="0.2">
      <c r="B119" s="239" t="s">
        <v>23</v>
      </c>
      <c r="C119" s="240"/>
      <c r="D119" s="49">
        <f>D117+D118</f>
        <v>59335</v>
      </c>
      <c r="E119" s="49">
        <f>E117+E118</f>
        <v>25929</v>
      </c>
      <c r="F119" s="49">
        <f>F117+F118</f>
        <v>50136</v>
      </c>
      <c r="G119" s="49">
        <f>G117+G118</f>
        <v>-2493</v>
      </c>
      <c r="H119" s="49">
        <f t="shared" si="70"/>
        <v>132907</v>
      </c>
      <c r="I119" s="49">
        <f>I117+I118</f>
        <v>1404</v>
      </c>
      <c r="J119" s="49">
        <f t="shared" si="73"/>
        <v>134311</v>
      </c>
      <c r="L119" s="239" t="s">
        <v>23</v>
      </c>
      <c r="M119" s="240"/>
      <c r="N119" s="49">
        <f>N117+N118</f>
        <v>20418</v>
      </c>
      <c r="O119" s="49">
        <f t="shared" ref="O119:Q119" si="78">O117+O118</f>
        <v>5725</v>
      </c>
      <c r="P119" s="49">
        <f t="shared" si="78"/>
        <v>8331</v>
      </c>
      <c r="Q119" s="49">
        <f t="shared" si="78"/>
        <v>-822</v>
      </c>
      <c r="R119" s="49">
        <f t="shared" si="74"/>
        <v>33652</v>
      </c>
      <c r="S119" s="49">
        <f>S117+S118</f>
        <v>130</v>
      </c>
      <c r="T119" s="49">
        <f t="shared" si="72"/>
        <v>33782</v>
      </c>
    </row>
  </sheetData>
  <mergeCells count="256"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14</vt:i4>
      </vt:variant>
    </vt:vector>
  </HeadingPairs>
  <TitlesOfParts>
    <vt:vector size="31" baseType="lpstr">
      <vt:lpstr>Menu</vt:lpstr>
      <vt:lpstr>Summary</vt:lpstr>
      <vt:lpstr>_P&amp;L(g) (old)</vt:lpstr>
      <vt:lpstr>P&amp;L(q)</vt:lpstr>
      <vt:lpstr>P&amp;L(y)</vt:lpstr>
      <vt:lpstr>BS</vt:lpstr>
      <vt:lpstr>CF</vt:lpstr>
      <vt:lpstr>Segmenty 2018</vt:lpstr>
      <vt:lpstr>Segmenty 2019 (2)</vt:lpstr>
      <vt:lpstr>Segmenty 2019</vt:lpstr>
      <vt:lpstr>Segmenty 2020 (2)</vt:lpstr>
      <vt:lpstr>Segmenty 2020</vt:lpstr>
      <vt:lpstr>EE</vt:lpstr>
      <vt:lpstr>GAZ</vt:lpstr>
      <vt:lpstr>W&amp;H</vt:lpstr>
      <vt:lpstr>Arkusz2</vt:lpstr>
      <vt:lpstr>Arkusz1</vt:lpstr>
      <vt:lpstr>'_P&amp;L(g) (old)'!Obszar_wydruku</vt:lpstr>
      <vt:lpstr>BS!Obszar_wydruku</vt:lpstr>
      <vt:lpstr>CF!Obszar_wydruku</vt:lpstr>
      <vt:lpstr>EE!Obszar_wydruku</vt:lpstr>
      <vt:lpstr>GAZ!Obszar_wydruku</vt:lpstr>
      <vt:lpstr>'P&amp;L(q)'!Obszar_wydruku</vt:lpstr>
      <vt:lpstr>'P&amp;L(y)'!Obszar_wydruku</vt:lpstr>
      <vt:lpstr>'Segmenty 2018'!Obszar_wydruku</vt:lpstr>
      <vt:lpstr>'Segmenty 2019'!Obszar_wydruku</vt:lpstr>
      <vt:lpstr>'Segmenty 2019 (2)'!Obszar_wydruku</vt:lpstr>
      <vt:lpstr>'Segmenty 2020'!Obszar_wydruku</vt:lpstr>
      <vt:lpstr>'Segmenty 2020 (2)'!Obszar_wydruku</vt:lpstr>
      <vt:lpstr>Summary!Obszar_wydruku</vt:lpstr>
      <vt:lpstr>'W&amp;H'!Obszar_wydruku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KAROLINA</dc:creator>
  <cp:lastModifiedBy>Sadowska Karolina</cp:lastModifiedBy>
  <cp:lastPrinted>2021-02-26T13:44:25Z</cp:lastPrinted>
  <dcterms:created xsi:type="dcterms:W3CDTF">2020-11-10T17:49:38Z</dcterms:created>
  <dcterms:modified xsi:type="dcterms:W3CDTF">2026-05-19T07:55:15Z</dcterms:modified>
</cp:coreProperties>
</file>