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OBOCZE\STRONA\"/>
    </mc:Choice>
  </mc:AlternateContent>
  <xr:revisionPtr revIDLastSave="0" documentId="13_ncr:1_{C0646ADD-41AF-496D-8330-5A3B0BF2A42C}" xr6:coauthVersionLast="47" xr6:coauthVersionMax="47" xr10:uidLastSave="{00000000-0000-0000-0000-000000000000}"/>
  <bookViews>
    <workbookView xWindow="-120" yWindow="-120" windowWidth="29040" windowHeight="15840" activeTab="1" xr2:uid="{8943EC27-1F06-4808-858D-4F9658680B71}"/>
  </bookViews>
  <sheets>
    <sheet name="Menu" sheetId="9" r:id="rId1"/>
    <sheet name="Summary" sheetId="16" r:id="rId2"/>
    <sheet name="_P&amp;L(g) (old)" sheetId="1" state="hidden" r:id="rId3"/>
    <sheet name="P&amp;L(q)" sheetId="14" r:id="rId4"/>
    <sheet name="P&amp;L(y)" sheetId="13" r:id="rId5"/>
    <sheet name="BS" sheetId="2" r:id="rId6"/>
    <sheet name="CF" sheetId="3" r:id="rId7"/>
    <sheet name="Segmenty 2018" sheetId="6" state="hidden" r:id="rId8"/>
    <sheet name="Segmenty 2019 (2)" sheetId="7" state="hidden" r:id="rId9"/>
    <sheet name="Segmenty 2019" sheetId="4" state="hidden" r:id="rId10"/>
    <sheet name="Segmenty 2020 (2)" sheetId="8" state="hidden" r:id="rId11"/>
    <sheet name="Segmenty 2020" sheetId="5" state="hidden" r:id="rId12"/>
    <sheet name="EE" sheetId="10" r:id="rId13"/>
    <sheet name="W&amp;H" sheetId="12" r:id="rId14"/>
    <sheet name="GAZ" sheetId="11" r:id="rId15"/>
    <sheet name="Arkusz2" sheetId="18" state="hidden" r:id="rId16"/>
    <sheet name="Arkusz1" sheetId="17" state="hidden" r:id="rId17"/>
  </sheets>
  <definedNames>
    <definedName name="_xlnm.Print_Area" localSheetId="2">'_P&amp;L(g) (old)'!$B$1:$R$41</definedName>
    <definedName name="_xlnm.Print_Area" localSheetId="5">BS!$B$1:$AB$95</definedName>
    <definedName name="_xlnm.Print_Area" localSheetId="6">CF!$B$5:$AL$82</definedName>
    <definedName name="_xlnm.Print_Area" localSheetId="12">EE!$B$1:$Z$33</definedName>
    <definedName name="_xlnm.Print_Area" localSheetId="14">GAZ!$B$1:$Z$21</definedName>
    <definedName name="_xlnm.Print_Area" localSheetId="3">'P&amp;L(q)'!$B$1:$V$65</definedName>
    <definedName name="_xlnm.Print_Area" localSheetId="4">'P&amp;L(y)'!$B$1:$N$65</definedName>
    <definedName name="_xlnm.Print_Area" localSheetId="7">'Segmenty 2018'!$B$1:$J$19</definedName>
    <definedName name="_xlnm.Print_Area" localSheetId="9">'Segmenty 2019'!$B$1:$J$19</definedName>
    <definedName name="_xlnm.Print_Area" localSheetId="8">'Segmenty 2019 (2)'!$B$1:$J$31</definedName>
    <definedName name="_xlnm.Print_Area" localSheetId="11">'Segmenty 2020'!$B$1:$J$18</definedName>
    <definedName name="_xlnm.Print_Area" localSheetId="10">'Segmenty 2020 (2)'!$B$1:$J$30</definedName>
    <definedName name="_xlnm.Print_Area" localSheetId="1">Summary!$B$1:$M$35</definedName>
    <definedName name="_xlnm.Print_Area" localSheetId="13">'W&amp;H'!$B$1:$Z$21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26" i="10" l="1"/>
  <c r="O13" i="11"/>
  <c r="S15" i="12"/>
  <c r="S10" i="12"/>
  <c r="O19" i="10"/>
  <c r="O10" i="10"/>
  <c r="S19" i="10"/>
  <c r="S13" i="10"/>
  <c r="U54" i="2" l="1"/>
  <c r="V54" i="2"/>
  <c r="W54" i="2"/>
  <c r="X54" i="2"/>
  <c r="U55" i="2"/>
  <c r="V55" i="2"/>
  <c r="W55" i="2"/>
  <c r="X55" i="2"/>
  <c r="W75" i="14" l="1"/>
  <c r="X19" i="11" l="1"/>
  <c r="X17" i="11"/>
  <c r="X16" i="11"/>
  <c r="X15" i="11"/>
  <c r="X13" i="11"/>
  <c r="X12" i="11"/>
  <c r="X10" i="11"/>
  <c r="X9" i="11"/>
  <c r="S11" i="11"/>
  <c r="S14" i="11" s="1"/>
  <c r="S18" i="11" s="1"/>
  <c r="S20" i="11" s="1"/>
  <c r="X15" i="12"/>
  <c r="S11" i="12"/>
  <c r="S14" i="12" s="1"/>
  <c r="X19" i="12"/>
  <c r="X17" i="12"/>
  <c r="X16" i="12"/>
  <c r="X13" i="12"/>
  <c r="X12" i="12"/>
  <c r="X10" i="12"/>
  <c r="X9" i="12"/>
  <c r="S18" i="12" l="1"/>
  <c r="S20" i="12" s="1"/>
  <c r="X19" i="10" l="1"/>
  <c r="X17" i="10"/>
  <c r="X16" i="10"/>
  <c r="X15" i="10"/>
  <c r="X13" i="10"/>
  <c r="X12" i="10"/>
  <c r="X10" i="10"/>
  <c r="X9" i="10"/>
  <c r="S31" i="10"/>
  <c r="S11" i="10"/>
  <c r="S14" i="10" s="1"/>
  <c r="S18" i="10" s="1"/>
  <c r="S20" i="10" s="1"/>
  <c r="AJ78" i="3"/>
  <c r="AJ75" i="3"/>
  <c r="AJ74" i="3"/>
  <c r="AJ73" i="3"/>
  <c r="AJ72" i="3"/>
  <c r="AJ71" i="3"/>
  <c r="AJ70" i="3"/>
  <c r="AJ69" i="3"/>
  <c r="AJ68" i="3"/>
  <c r="AJ67" i="3"/>
  <c r="AJ66" i="3"/>
  <c r="AJ65" i="3"/>
  <c r="AJ62" i="3"/>
  <c r="AJ61" i="3"/>
  <c r="AJ60" i="3"/>
  <c r="AJ59" i="3"/>
  <c r="AJ58" i="3"/>
  <c r="AJ57" i="3"/>
  <c r="AJ56" i="3"/>
  <c r="AJ55" i="3"/>
  <c r="AJ54" i="3"/>
  <c r="AJ53" i="3"/>
  <c r="AJ52" i="3"/>
  <c r="AJ51" i="3"/>
  <c r="AJ50" i="3"/>
  <c r="AJ49" i="3"/>
  <c r="AJ48" i="3"/>
  <c r="AJ47" i="3"/>
  <c r="AJ46" i="3"/>
  <c r="AJ45" i="3"/>
  <c r="AJ42" i="3"/>
  <c r="AJ41" i="3"/>
  <c r="AJ40" i="3"/>
  <c r="AJ38" i="3"/>
  <c r="AJ37" i="3"/>
  <c r="AJ36" i="3"/>
  <c r="AJ35" i="3"/>
  <c r="AJ34" i="3"/>
  <c r="AJ33" i="3"/>
  <c r="AJ32" i="3"/>
  <c r="AJ31" i="3"/>
  <c r="AJ29" i="3"/>
  <c r="AJ28" i="3"/>
  <c r="AJ27" i="3"/>
  <c r="AJ26" i="3"/>
  <c r="AJ25" i="3"/>
  <c r="AJ24" i="3"/>
  <c r="AJ23" i="3"/>
  <c r="AJ22" i="3"/>
  <c r="AJ21" i="3"/>
  <c r="AJ20" i="3"/>
  <c r="AJ19" i="3"/>
  <c r="AJ18" i="3"/>
  <c r="AJ17" i="3"/>
  <c r="AJ16" i="3"/>
  <c r="AJ15" i="3"/>
  <c r="AJ14" i="3"/>
  <c r="AJ13" i="3"/>
  <c r="AJ11" i="3"/>
  <c r="S78" i="3"/>
  <c r="S76" i="3"/>
  <c r="S63" i="3"/>
  <c r="S12" i="3"/>
  <c r="K22" i="16" l="1"/>
  <c r="K21" i="16"/>
  <c r="S30" i="3"/>
  <c r="S39" i="3"/>
  <c r="AJ76" i="3"/>
  <c r="AJ63" i="3"/>
  <c r="AJ12" i="3"/>
  <c r="AJ30" i="3" s="1"/>
  <c r="AJ39" i="3" s="1"/>
  <c r="AJ43" i="3" s="1"/>
  <c r="AJ77" i="3" l="1"/>
  <c r="S43" i="3"/>
  <c r="X94" i="2"/>
  <c r="X93" i="2"/>
  <c r="X92" i="2"/>
  <c r="X91" i="2"/>
  <c r="X90" i="2"/>
  <c r="X89" i="2"/>
  <c r="X87" i="2"/>
  <c r="X86" i="2"/>
  <c r="X85" i="2"/>
  <c r="X84" i="2"/>
  <c r="X83" i="2"/>
  <c r="X81" i="2"/>
  <c r="X80" i="2"/>
  <c r="X77" i="2"/>
  <c r="X76" i="2"/>
  <c r="X75" i="2"/>
  <c r="X74" i="2"/>
  <c r="X73" i="2"/>
  <c r="X72" i="2"/>
  <c r="X71" i="2"/>
  <c r="X69" i="2"/>
  <c r="X68" i="2"/>
  <c r="X64" i="2"/>
  <c r="X63" i="2"/>
  <c r="X62" i="2"/>
  <c r="X61" i="2"/>
  <c r="X59" i="2"/>
  <c r="X58" i="2"/>
  <c r="X57" i="2"/>
  <c r="X56" i="2"/>
  <c r="X53" i="2"/>
  <c r="X49" i="2"/>
  <c r="X48" i="2"/>
  <c r="X47" i="2"/>
  <c r="X46" i="2"/>
  <c r="X45" i="2"/>
  <c r="X44" i="2"/>
  <c r="X42" i="2"/>
  <c r="X41" i="2"/>
  <c r="X39" i="2"/>
  <c r="X38" i="2"/>
  <c r="X36" i="2"/>
  <c r="X35" i="2"/>
  <c r="X34" i="2"/>
  <c r="X33" i="2"/>
  <c r="X31" i="2"/>
  <c r="X30" i="2"/>
  <c r="X28" i="2"/>
  <c r="X27" i="2"/>
  <c r="X26" i="2"/>
  <c r="X25" i="2"/>
  <c r="X23" i="2"/>
  <c r="X22" i="2"/>
  <c r="X20" i="2"/>
  <c r="X19" i="2"/>
  <c r="X17" i="2"/>
  <c r="X16" i="2"/>
  <c r="X15" i="2"/>
  <c r="X14" i="2"/>
  <c r="X13" i="2"/>
  <c r="X12" i="2"/>
  <c r="X11" i="2"/>
  <c r="X8" i="2"/>
  <c r="S88" i="2"/>
  <c r="X88" i="2" s="1"/>
  <c r="S82" i="2"/>
  <c r="X82" i="2" s="1"/>
  <c r="S79" i="2"/>
  <c r="S78" i="2" s="1"/>
  <c r="X78" i="2" s="1"/>
  <c r="S70" i="2"/>
  <c r="S66" i="2" s="1"/>
  <c r="X66" i="2" s="1"/>
  <c r="S67" i="2"/>
  <c r="X67" i="2" s="1"/>
  <c r="S60" i="2"/>
  <c r="S52" i="2" s="1"/>
  <c r="S51" i="2" s="1"/>
  <c r="X51" i="2" s="1"/>
  <c r="S43" i="2"/>
  <c r="X43" i="2" s="1"/>
  <c r="S40" i="2"/>
  <c r="X40" i="2" s="1"/>
  <c r="S37" i="2"/>
  <c r="S32" i="2"/>
  <c r="X32" i="2" s="1"/>
  <c r="S24" i="2"/>
  <c r="X24" i="2" s="1"/>
  <c r="S21" i="2"/>
  <c r="X21" i="2" s="1"/>
  <c r="S18" i="2"/>
  <c r="X18" i="2" s="1"/>
  <c r="K20" i="16" l="1"/>
  <c r="S77" i="3"/>
  <c r="S10" i="2"/>
  <c r="X10" i="2" s="1"/>
  <c r="X79" i="2"/>
  <c r="X70" i="2"/>
  <c r="X60" i="2"/>
  <c r="X52" i="2"/>
  <c r="S29" i="2"/>
  <c r="X29" i="2" s="1"/>
  <c r="X37" i="2"/>
  <c r="S65" i="2"/>
  <c r="X65" i="2" s="1"/>
  <c r="S95" i="2" l="1"/>
  <c r="X95" i="2" s="1"/>
  <c r="S50" i="2"/>
  <c r="X50" i="2" s="1"/>
  <c r="L27" i="13" l="1"/>
  <c r="L22" i="13"/>
  <c r="L77" i="13"/>
  <c r="L64" i="13"/>
  <c r="L63" i="13"/>
  <c r="L61" i="13"/>
  <c r="L60" i="13"/>
  <c r="L57" i="13"/>
  <c r="L56" i="13"/>
  <c r="L55" i="13"/>
  <c r="L54" i="13"/>
  <c r="L53" i="13"/>
  <c r="L52" i="13"/>
  <c r="L51" i="13"/>
  <c r="L50" i="13"/>
  <c r="L40" i="13"/>
  <c r="L35" i="13"/>
  <c r="L32" i="13"/>
  <c r="L31" i="13"/>
  <c r="L29" i="13"/>
  <c r="L28" i="13"/>
  <c r="L24" i="13"/>
  <c r="L23" i="13"/>
  <c r="L18" i="13"/>
  <c r="L17" i="13"/>
  <c r="L15" i="13"/>
  <c r="L14" i="13"/>
  <c r="L12" i="13"/>
  <c r="L11" i="13"/>
  <c r="W62" i="14" l="1"/>
  <c r="W59" i="14"/>
  <c r="W48" i="14"/>
  <c r="W43" i="14"/>
  <c r="W26" i="14"/>
  <c r="W13" i="14"/>
  <c r="W10" i="14"/>
  <c r="P56" i="2"/>
  <c r="W16" i="14" l="1"/>
  <c r="W19" i="14" s="1"/>
  <c r="R11" i="11"/>
  <c r="R14" i="11" s="1"/>
  <c r="R18" i="11" s="1"/>
  <c r="R20" i="11" s="1"/>
  <c r="R14" i="12"/>
  <c r="R11" i="12"/>
  <c r="R11" i="10"/>
  <c r="R31" i="10"/>
  <c r="R18" i="12" l="1"/>
  <c r="R14" i="10"/>
  <c r="R20" i="12" l="1"/>
  <c r="R18" i="10"/>
  <c r="AI11" i="3"/>
  <c r="AI13" i="3"/>
  <c r="AI14" i="3"/>
  <c r="AI15" i="3"/>
  <c r="AI16" i="3"/>
  <c r="AI17" i="3"/>
  <c r="AI18" i="3"/>
  <c r="AI19" i="3"/>
  <c r="AI20" i="3"/>
  <c r="AI21" i="3"/>
  <c r="AI22" i="3"/>
  <c r="AI23" i="3"/>
  <c r="AI24" i="3"/>
  <c r="AI25" i="3"/>
  <c r="AI26" i="3"/>
  <c r="AI27" i="3"/>
  <c r="AI28" i="3"/>
  <c r="AI29" i="3"/>
  <c r="AI31" i="3"/>
  <c r="AI32" i="3"/>
  <c r="AI33" i="3"/>
  <c r="AI34" i="3"/>
  <c r="AI35" i="3"/>
  <c r="AI36" i="3"/>
  <c r="AI37" i="3"/>
  <c r="AI38" i="3"/>
  <c r="AI40" i="3"/>
  <c r="AI41" i="3"/>
  <c r="AI42" i="3"/>
  <c r="AI45" i="3"/>
  <c r="AI46" i="3"/>
  <c r="AI47" i="3"/>
  <c r="AI48" i="3"/>
  <c r="AI49" i="3"/>
  <c r="AI50" i="3"/>
  <c r="AI51" i="3"/>
  <c r="AI52" i="3"/>
  <c r="AI53" i="3"/>
  <c r="AI54" i="3"/>
  <c r="AI55" i="3"/>
  <c r="AI56" i="3"/>
  <c r="AI57" i="3"/>
  <c r="AI58" i="3"/>
  <c r="AI59" i="3"/>
  <c r="AI60" i="3"/>
  <c r="AI61" i="3"/>
  <c r="AI62" i="3"/>
  <c r="AI63" i="3"/>
  <c r="AI65" i="3"/>
  <c r="AI66" i="3"/>
  <c r="AI67" i="3"/>
  <c r="AI68" i="3"/>
  <c r="AI69" i="3"/>
  <c r="AI70" i="3"/>
  <c r="AI71" i="3"/>
  <c r="AI72" i="3"/>
  <c r="AI73" i="3"/>
  <c r="AI74" i="3"/>
  <c r="AI75" i="3"/>
  <c r="AI76" i="3"/>
  <c r="AI78" i="3"/>
  <c r="R76" i="3"/>
  <c r="R78" i="3"/>
  <c r="R63" i="3"/>
  <c r="R12" i="3"/>
  <c r="R30" i="3" s="1"/>
  <c r="R39" i="3" s="1"/>
  <c r="R43" i="3" s="1"/>
  <c r="R88" i="2"/>
  <c r="R82" i="2"/>
  <c r="R79" i="2"/>
  <c r="R70" i="2"/>
  <c r="R67" i="2"/>
  <c r="R60" i="2"/>
  <c r="R52" i="2" s="1"/>
  <c r="R51" i="2" s="1"/>
  <c r="R43" i="2"/>
  <c r="R40" i="2"/>
  <c r="R37" i="2"/>
  <c r="R32" i="2"/>
  <c r="R24" i="2"/>
  <c r="R21" i="2"/>
  <c r="R18" i="2"/>
  <c r="R20" i="10" l="1"/>
  <c r="AI12" i="3"/>
  <c r="AI30" i="3" s="1"/>
  <c r="AI39" i="3" s="1"/>
  <c r="AI43" i="3" s="1"/>
  <c r="AI77" i="3" s="1"/>
  <c r="R10" i="2"/>
  <c r="R29" i="2"/>
  <c r="R66" i="2"/>
  <c r="R77" i="3"/>
  <c r="R78" i="2"/>
  <c r="V75" i="14"/>
  <c r="R50" i="2" l="1"/>
  <c r="R65" i="2"/>
  <c r="L59" i="13"/>
  <c r="L62" i="13"/>
  <c r="V62" i="14"/>
  <c r="V58" i="14"/>
  <c r="V48" i="14"/>
  <c r="V28" i="14"/>
  <c r="R95" i="2" l="1"/>
  <c r="L10" i="13"/>
  <c r="L13" i="13"/>
  <c r="L26" i="13"/>
  <c r="L48" i="13"/>
  <c r="V59" i="14"/>
  <c r="V10" i="14" l="1"/>
  <c r="V13" i="14"/>
  <c r="V20" i="14"/>
  <c r="V26" i="14"/>
  <c r="V43" i="14"/>
  <c r="V41" i="3"/>
  <c r="W41" i="3"/>
  <c r="X41" i="3"/>
  <c r="Z41" i="3"/>
  <c r="AA41" i="3"/>
  <c r="AB41" i="3"/>
  <c r="AD41" i="3"/>
  <c r="AE41" i="3"/>
  <c r="AF41" i="3"/>
  <c r="AH41" i="3"/>
  <c r="AH29" i="3"/>
  <c r="AH28" i="3"/>
  <c r="AH27" i="3"/>
  <c r="AH26" i="3"/>
  <c r="AH25" i="3"/>
  <c r="AH24" i="3"/>
  <c r="AH23" i="3"/>
  <c r="AH22" i="3"/>
  <c r="AH21" i="3"/>
  <c r="AH20" i="3"/>
  <c r="AH19" i="3"/>
  <c r="AH18" i="3"/>
  <c r="AH17" i="3"/>
  <c r="AH16" i="3"/>
  <c r="AH15" i="3"/>
  <c r="AH14" i="3"/>
  <c r="V16" i="14" l="1"/>
  <c r="V19" i="14" s="1"/>
  <c r="V25" i="14" s="1"/>
  <c r="Q11" i="11"/>
  <c r="Q14" i="11" s="1"/>
  <c r="Q18" i="11" s="1"/>
  <c r="Q20" i="11" s="1"/>
  <c r="Q11" i="12"/>
  <c r="Q14" i="12" s="1"/>
  <c r="Q18" i="12" s="1"/>
  <c r="Q20" i="12" s="1"/>
  <c r="Q31" i="10"/>
  <c r="Q11" i="10"/>
  <c r="Q14" i="10" s="1"/>
  <c r="Q18" i="10" s="1"/>
  <c r="Q20" i="10" s="1"/>
  <c r="AH78" i="3"/>
  <c r="AH75" i="3"/>
  <c r="AH74" i="3"/>
  <c r="AH73" i="3"/>
  <c r="AH72" i="3"/>
  <c r="AH71" i="3"/>
  <c r="AH70" i="3"/>
  <c r="AH69" i="3"/>
  <c r="AH68" i="3"/>
  <c r="AH67" i="3"/>
  <c r="AH66" i="3"/>
  <c r="AH65" i="3"/>
  <c r="AH62" i="3"/>
  <c r="AH61" i="3"/>
  <c r="AH60" i="3"/>
  <c r="AH59" i="3"/>
  <c r="AH58" i="3"/>
  <c r="AH57" i="3"/>
  <c r="AH56" i="3"/>
  <c r="AH55" i="3"/>
  <c r="AH54" i="3"/>
  <c r="AH53" i="3"/>
  <c r="AH52" i="3"/>
  <c r="AH51" i="3"/>
  <c r="AH50" i="3"/>
  <c r="AH49" i="3"/>
  <c r="AH48" i="3"/>
  <c r="AH47" i="3"/>
  <c r="AH46" i="3"/>
  <c r="AH45" i="3"/>
  <c r="AH42" i="3"/>
  <c r="AH40" i="3"/>
  <c r="AH38" i="3"/>
  <c r="AH37" i="3"/>
  <c r="AH36" i="3"/>
  <c r="AH35" i="3"/>
  <c r="AH34" i="3"/>
  <c r="AH33" i="3"/>
  <c r="AH32" i="3"/>
  <c r="AH31" i="3"/>
  <c r="AH13" i="3"/>
  <c r="AH11" i="3"/>
  <c r="Q76" i="3"/>
  <c r="Q78" i="3"/>
  <c r="Q63" i="3"/>
  <c r="Q12" i="3"/>
  <c r="Q30" i="3" s="1"/>
  <c r="Q39" i="3" s="1"/>
  <c r="Q43" i="3" s="1"/>
  <c r="Q88" i="2"/>
  <c r="Q82" i="2"/>
  <c r="Q79" i="2"/>
  <c r="Q70" i="2"/>
  <c r="Q67" i="2"/>
  <c r="Q60" i="2"/>
  <c r="Q52" i="2" s="1"/>
  <c r="Q51" i="2" s="1"/>
  <c r="Q43" i="2"/>
  <c r="Q40" i="2"/>
  <c r="Q37" i="2"/>
  <c r="Q32" i="2"/>
  <c r="Q24" i="2"/>
  <c r="Q21" i="2"/>
  <c r="Q18" i="2"/>
  <c r="U75" i="14"/>
  <c r="U62" i="14"/>
  <c r="U59" i="14"/>
  <c r="U48" i="14"/>
  <c r="U10" i="14"/>
  <c r="U13" i="14"/>
  <c r="U20" i="14"/>
  <c r="U26" i="14"/>
  <c r="U43" i="14"/>
  <c r="AH76" i="3" l="1"/>
  <c r="Q66" i="2"/>
  <c r="V30" i="14" a="1"/>
  <c r="V30" i="14" s="1"/>
  <c r="V33" i="14" s="1"/>
  <c r="V37" i="14" s="1"/>
  <c r="V39" i="14"/>
  <c r="V41" i="14" s="1"/>
  <c r="V42" i="14" s="1"/>
  <c r="X11" i="11"/>
  <c r="X14" i="11" s="1"/>
  <c r="X18" i="11" s="1"/>
  <c r="X20" i="11" s="1"/>
  <c r="X11" i="12"/>
  <c r="AH63" i="3"/>
  <c r="AH12" i="3"/>
  <c r="AH30" i="3" s="1"/>
  <c r="AH39" i="3" s="1"/>
  <c r="AH43" i="3" s="1"/>
  <c r="AH77" i="3" s="1"/>
  <c r="Q77" i="3"/>
  <c r="Q78" i="2"/>
  <c r="Q10" i="2"/>
  <c r="Q29" i="2"/>
  <c r="U16" i="14"/>
  <c r="U19" i="14" s="1"/>
  <c r="Q65" i="2" l="1"/>
  <c r="X14" i="12"/>
  <c r="Q95" i="2"/>
  <c r="Q50" i="2"/>
  <c r="U30" i="14" a="1"/>
  <c r="U30" i="14" s="1"/>
  <c r="U33" i="14" s="1"/>
  <c r="U37" i="14" s="1"/>
  <c r="U58" i="14" s="1"/>
  <c r="U25" i="14"/>
  <c r="U39" i="14" s="1"/>
  <c r="U41" i="14" s="1"/>
  <c r="U42" i="14" s="1"/>
  <c r="X11" i="10"/>
  <c r="K30" i="16"/>
  <c r="K29" i="16"/>
  <c r="K16" i="16"/>
  <c r="P31" i="10"/>
  <c r="X14" i="10" l="1"/>
  <c r="X18" i="12"/>
  <c r="K15" i="16"/>
  <c r="L43" i="13"/>
  <c r="K17" i="16"/>
  <c r="K33" i="16" s="1"/>
  <c r="X18" i="10" l="1"/>
  <c r="X20" i="12"/>
  <c r="L16" i="13"/>
  <c r="K10" i="16"/>
  <c r="K18" i="16"/>
  <c r="P11" i="11"/>
  <c r="P11" i="12"/>
  <c r="P11" i="10"/>
  <c r="P14" i="12" l="1"/>
  <c r="P14" i="10"/>
  <c r="L19" i="13"/>
  <c r="P14" i="11"/>
  <c r="X20" i="10"/>
  <c r="T75" i="14"/>
  <c r="P18" i="12" l="1"/>
  <c r="P18" i="10"/>
  <c r="P18" i="11"/>
  <c r="AG76" i="3"/>
  <c r="AG78" i="3"/>
  <c r="AG63" i="3"/>
  <c r="AG12" i="3"/>
  <c r="AG30" i="3" s="1"/>
  <c r="AG39" i="3" s="1"/>
  <c r="AG43" i="3" s="1"/>
  <c r="P76" i="3"/>
  <c r="P78" i="3"/>
  <c r="P63" i="3"/>
  <c r="P12" i="3"/>
  <c r="P30" i="3" s="1"/>
  <c r="P39" i="3" s="1"/>
  <c r="P43" i="3" s="1"/>
  <c r="P88" i="2"/>
  <c r="P82" i="2"/>
  <c r="P79" i="2"/>
  <c r="P70" i="2"/>
  <c r="P67" i="2"/>
  <c r="P60" i="2"/>
  <c r="P43" i="2"/>
  <c r="P40" i="2"/>
  <c r="P37" i="2"/>
  <c r="P32" i="2"/>
  <c r="P24" i="2"/>
  <c r="P10" i="2" s="1"/>
  <c r="K26" i="16" s="1"/>
  <c r="P21" i="2"/>
  <c r="P18" i="2"/>
  <c r="T62" i="14"/>
  <c r="T59" i="14"/>
  <c r="T48" i="14"/>
  <c r="P20" i="12" l="1"/>
  <c r="P20" i="10"/>
  <c r="AG77" i="3"/>
  <c r="P20" i="11"/>
  <c r="P77" i="3"/>
  <c r="K23" i="16"/>
  <c r="P52" i="2"/>
  <c r="P66" i="2"/>
  <c r="K31" i="16" s="1"/>
  <c r="P78" i="2"/>
  <c r="K32" i="16" s="1"/>
  <c r="P29" i="2"/>
  <c r="P50" i="2" l="1"/>
  <c r="K27" i="16"/>
  <c r="K25" i="16" s="1"/>
  <c r="P51" i="2"/>
  <c r="K28" i="16" s="1"/>
  <c r="K34" i="16" s="1"/>
  <c r="P65" i="2"/>
  <c r="T10" i="14"/>
  <c r="T13" i="14"/>
  <c r="T20" i="14"/>
  <c r="T26" i="14"/>
  <c r="T43" i="14"/>
  <c r="P95" i="2" l="1"/>
  <c r="T16" i="14"/>
  <c r="T19" i="14" s="1"/>
  <c r="T25" i="14" s="1"/>
  <c r="T30" i="14" s="1" a="1"/>
  <c r="T30" i="14" s="1"/>
  <c r="T33" i="14" s="1"/>
  <c r="T37" i="14" s="1"/>
  <c r="T58" i="14" s="1"/>
  <c r="K77" i="13"/>
  <c r="J77" i="13"/>
  <c r="I77" i="13"/>
  <c r="T39" i="14" l="1"/>
  <c r="T41" i="14" s="1"/>
  <c r="T42" i="14" s="1"/>
  <c r="S75" i="14"/>
  <c r="AF65" i="3" l="1"/>
  <c r="AF66" i="3"/>
  <c r="AF67" i="3"/>
  <c r="AF68" i="3"/>
  <c r="AF69" i="3"/>
  <c r="AF70" i="3"/>
  <c r="AF71" i="3"/>
  <c r="AF72" i="3"/>
  <c r="AF73" i="3"/>
  <c r="AF74" i="3"/>
  <c r="AF75" i="3"/>
  <c r="AF45" i="3"/>
  <c r="AF46" i="3"/>
  <c r="AF47" i="3"/>
  <c r="AF48" i="3"/>
  <c r="AF49" i="3"/>
  <c r="AF50" i="3"/>
  <c r="AF51" i="3"/>
  <c r="AF52" i="3"/>
  <c r="AF53" i="3"/>
  <c r="AF54" i="3"/>
  <c r="AF55" i="3"/>
  <c r="AF56" i="3"/>
  <c r="AF57" i="3"/>
  <c r="AF58" i="3"/>
  <c r="AF59" i="3"/>
  <c r="AF60" i="3"/>
  <c r="AF61" i="3"/>
  <c r="AF62" i="3"/>
  <c r="AF40" i="3"/>
  <c r="AF42" i="3"/>
  <c r="AF31" i="3"/>
  <c r="AF32" i="3"/>
  <c r="AF33" i="3"/>
  <c r="AF34" i="3"/>
  <c r="AF35" i="3"/>
  <c r="AF36" i="3"/>
  <c r="AF37" i="3"/>
  <c r="AF38" i="3"/>
  <c r="AF13" i="3"/>
  <c r="AF14" i="3"/>
  <c r="AF15" i="3"/>
  <c r="AF16" i="3"/>
  <c r="AF17" i="3"/>
  <c r="AF18" i="3"/>
  <c r="AF19" i="3"/>
  <c r="AF20" i="3"/>
  <c r="AF21" i="3"/>
  <c r="AF22" i="3"/>
  <c r="AF23" i="3"/>
  <c r="AF24" i="3"/>
  <c r="AF25" i="3"/>
  <c r="AF26" i="3"/>
  <c r="AF27" i="3"/>
  <c r="AF28" i="3"/>
  <c r="AF29" i="3"/>
  <c r="AF11" i="3"/>
  <c r="W94" i="2"/>
  <c r="W93" i="2"/>
  <c r="W92" i="2"/>
  <c r="W91" i="2"/>
  <c r="W90" i="2"/>
  <c r="W89" i="2"/>
  <c r="W87" i="2"/>
  <c r="W86" i="2"/>
  <c r="W85" i="2"/>
  <c r="W84" i="2"/>
  <c r="W83" i="2"/>
  <c r="W81" i="2"/>
  <c r="W80" i="2"/>
  <c r="W77" i="2"/>
  <c r="W76" i="2"/>
  <c r="W75" i="2"/>
  <c r="W74" i="2"/>
  <c r="W73" i="2"/>
  <c r="W72" i="2"/>
  <c r="W71" i="2"/>
  <c r="W69" i="2"/>
  <c r="W68" i="2"/>
  <c r="W64" i="2"/>
  <c r="W63" i="2"/>
  <c r="W62" i="2"/>
  <c r="W61" i="2"/>
  <c r="W59" i="2"/>
  <c r="W58" i="2"/>
  <c r="W57" i="2"/>
  <c r="W56" i="2"/>
  <c r="W53" i="2"/>
  <c r="W49" i="2"/>
  <c r="W48" i="2"/>
  <c r="W47" i="2"/>
  <c r="W46" i="2"/>
  <c r="W45" i="2"/>
  <c r="W44" i="2"/>
  <c r="W42" i="2"/>
  <c r="W41" i="2"/>
  <c r="W39" i="2"/>
  <c r="W38" i="2"/>
  <c r="W36" i="2"/>
  <c r="W35" i="2"/>
  <c r="W34" i="2"/>
  <c r="W33" i="2"/>
  <c r="W31" i="2"/>
  <c r="W30" i="2"/>
  <c r="W28" i="2"/>
  <c r="W27" i="2"/>
  <c r="W26" i="2"/>
  <c r="W25" i="2"/>
  <c r="W23" i="2"/>
  <c r="W22" i="2"/>
  <c r="W20" i="2"/>
  <c r="W19" i="2"/>
  <c r="W17" i="2"/>
  <c r="W16" i="2"/>
  <c r="W15" i="2"/>
  <c r="W14" i="2"/>
  <c r="W13" i="2"/>
  <c r="W12" i="2"/>
  <c r="W11" i="2"/>
  <c r="O88" i="2"/>
  <c r="W88" i="2" s="1"/>
  <c r="O82" i="2"/>
  <c r="W82" i="2" s="1"/>
  <c r="O79" i="2"/>
  <c r="W79" i="2" s="1"/>
  <c r="O70" i="2"/>
  <c r="W70" i="2" s="1"/>
  <c r="O67" i="2"/>
  <c r="W67" i="2" s="1"/>
  <c r="O60" i="2"/>
  <c r="W60" i="2" s="1"/>
  <c r="O43" i="2"/>
  <c r="W43" i="2" s="1"/>
  <c r="O40" i="2"/>
  <c r="W40" i="2" s="1"/>
  <c r="O37" i="2"/>
  <c r="W37" i="2" s="1"/>
  <c r="O32" i="2"/>
  <c r="W32" i="2" s="1"/>
  <c r="O24" i="2"/>
  <c r="W24" i="2" s="1"/>
  <c r="O21" i="2"/>
  <c r="W21" i="2" s="1"/>
  <c r="O18" i="2"/>
  <c r="W18" i="2" s="1"/>
  <c r="K64" i="13"/>
  <c r="K63" i="13"/>
  <c r="K61" i="13"/>
  <c r="K60" i="13"/>
  <c r="K57" i="13"/>
  <c r="K56" i="13"/>
  <c r="K55" i="13"/>
  <c r="K54" i="13"/>
  <c r="K53" i="13"/>
  <c r="K52" i="13"/>
  <c r="K51" i="13"/>
  <c r="K50" i="13"/>
  <c r="K40" i="13"/>
  <c r="K35" i="13"/>
  <c r="K32" i="13"/>
  <c r="K31" i="13"/>
  <c r="K29" i="13"/>
  <c r="K28" i="13"/>
  <c r="K27" i="13"/>
  <c r="K24" i="13"/>
  <c r="K23" i="13"/>
  <c r="K22" i="13"/>
  <c r="K21" i="13"/>
  <c r="K18" i="13"/>
  <c r="K17" i="13"/>
  <c r="K15" i="13"/>
  <c r="K14" i="13"/>
  <c r="K12" i="13"/>
  <c r="K11" i="13"/>
  <c r="S62" i="14"/>
  <c r="S59" i="14"/>
  <c r="S48" i="14"/>
  <c r="S43" i="14"/>
  <c r="O10" i="2" l="1"/>
  <c r="W10" i="2" s="1"/>
  <c r="J16" i="16"/>
  <c r="J15" i="16"/>
  <c r="K43" i="13"/>
  <c r="O78" i="2"/>
  <c r="W78" i="2" s="1"/>
  <c r="O66" i="2"/>
  <c r="W66" i="2" s="1"/>
  <c r="O52" i="2"/>
  <c r="O51" i="2" s="1"/>
  <c r="W51" i="2" s="1"/>
  <c r="O29" i="2"/>
  <c r="W29" i="2" s="1"/>
  <c r="S26" i="14"/>
  <c r="S20" i="14"/>
  <c r="S13" i="14"/>
  <c r="S10" i="14"/>
  <c r="S16" i="14" l="1"/>
  <c r="S19" i="14" s="1"/>
  <c r="S25" i="14" s="1"/>
  <c r="O65" i="2"/>
  <c r="W65" i="2" s="1"/>
  <c r="W52" i="2"/>
  <c r="O50" i="2"/>
  <c r="W50" i="2" s="1"/>
  <c r="S39" i="14" l="1"/>
  <c r="S41" i="14" s="1"/>
  <c r="S42" i="14" s="1"/>
  <c r="S30" i="14" a="1"/>
  <c r="S30" i="14" s="1"/>
  <c r="S33" i="14" s="1"/>
  <c r="S37" i="14" s="1"/>
  <c r="S58" i="14" s="1"/>
  <c r="O95" i="2"/>
  <c r="W95" i="2" s="1"/>
  <c r="J31" i="16" l="1"/>
  <c r="J32" i="16"/>
  <c r="J30" i="16"/>
  <c r="J29" i="16"/>
  <c r="J28" i="16"/>
  <c r="J27" i="16"/>
  <c r="J26" i="16"/>
  <c r="J17" i="16"/>
  <c r="J33" i="16" s="1"/>
  <c r="J18" i="16"/>
  <c r="I17" i="16"/>
  <c r="I33" i="16" s="1"/>
  <c r="H17" i="16"/>
  <c r="H33" i="16" s="1"/>
  <c r="J25" i="16" l="1"/>
  <c r="J34" i="16"/>
  <c r="R75" i="14" l="1"/>
  <c r="Q75" i="14"/>
  <c r="P75" i="14"/>
  <c r="O75" i="14"/>
  <c r="N75" i="14"/>
  <c r="M75" i="14"/>
  <c r="L75" i="14"/>
  <c r="K75" i="14"/>
  <c r="J75" i="14"/>
  <c r="I75" i="14"/>
  <c r="H75" i="14"/>
  <c r="R62" i="14"/>
  <c r="Q62" i="14"/>
  <c r="P62" i="14"/>
  <c r="O62" i="14"/>
  <c r="N62" i="14"/>
  <c r="M62" i="14"/>
  <c r="L62" i="14"/>
  <c r="K62" i="14"/>
  <c r="J62" i="14"/>
  <c r="I62" i="14"/>
  <c r="H62" i="14"/>
  <c r="R59" i="14"/>
  <c r="Q59" i="14"/>
  <c r="P59" i="14"/>
  <c r="O59" i="14"/>
  <c r="N59" i="14"/>
  <c r="M59" i="14"/>
  <c r="L59" i="14"/>
  <c r="K59" i="14"/>
  <c r="J59" i="14"/>
  <c r="I59" i="14"/>
  <c r="H59" i="14"/>
  <c r="R48" i="14"/>
  <c r="Q48" i="14"/>
  <c r="P48" i="14"/>
  <c r="O48" i="14"/>
  <c r="N48" i="14"/>
  <c r="M48" i="14"/>
  <c r="L48" i="14"/>
  <c r="K48" i="14"/>
  <c r="J48" i="14"/>
  <c r="I48" i="14"/>
  <c r="H48" i="14"/>
  <c r="R43" i="14"/>
  <c r="Q43" i="14"/>
  <c r="P43" i="14"/>
  <c r="O43" i="14"/>
  <c r="N43" i="14"/>
  <c r="M43" i="14"/>
  <c r="L43" i="14"/>
  <c r="K43" i="14"/>
  <c r="J43" i="14"/>
  <c r="I43" i="14"/>
  <c r="H43" i="14"/>
  <c r="R26" i="14"/>
  <c r="Q26" i="14"/>
  <c r="P26" i="14"/>
  <c r="O26" i="14"/>
  <c r="N26" i="14"/>
  <c r="M26" i="14"/>
  <c r="L26" i="14"/>
  <c r="K26" i="14"/>
  <c r="J26" i="14"/>
  <c r="I26" i="14"/>
  <c r="H26" i="14"/>
  <c r="R20" i="14"/>
  <c r="Q20" i="14"/>
  <c r="P20" i="14"/>
  <c r="O20" i="14"/>
  <c r="N20" i="14"/>
  <c r="M20" i="14"/>
  <c r="L20" i="14"/>
  <c r="K20" i="14"/>
  <c r="J20" i="14"/>
  <c r="I20" i="14"/>
  <c r="H20" i="14"/>
  <c r="R13" i="14"/>
  <c r="Q13" i="14"/>
  <c r="P13" i="14"/>
  <c r="O13" i="14"/>
  <c r="N13" i="14"/>
  <c r="M13" i="14"/>
  <c r="L13" i="14"/>
  <c r="K13" i="14"/>
  <c r="J13" i="14"/>
  <c r="I13" i="14"/>
  <c r="H13" i="14"/>
  <c r="R10" i="14"/>
  <c r="Q10" i="14"/>
  <c r="P10" i="14"/>
  <c r="O10" i="14"/>
  <c r="O16" i="14" s="1"/>
  <c r="O19" i="14" s="1"/>
  <c r="O25" i="14" s="1"/>
  <c r="N10" i="14"/>
  <c r="N16" i="14" s="1"/>
  <c r="N19" i="14" s="1"/>
  <c r="N25" i="14" s="1"/>
  <c r="M10" i="14"/>
  <c r="M16" i="14" s="1"/>
  <c r="M19" i="14" s="1"/>
  <c r="L10" i="14"/>
  <c r="L16" i="14" s="1"/>
  <c r="L19" i="14" s="1"/>
  <c r="L25" i="14" s="1"/>
  <c r="K10" i="14"/>
  <c r="K16" i="14" s="1"/>
  <c r="K19" i="14" s="1"/>
  <c r="K25" i="14" s="1"/>
  <c r="J10" i="14"/>
  <c r="J16" i="14" s="1"/>
  <c r="J19" i="14" s="1"/>
  <c r="J25" i="14" s="1"/>
  <c r="I10" i="14"/>
  <c r="I16" i="14" s="1"/>
  <c r="I19" i="14" s="1"/>
  <c r="H10" i="14"/>
  <c r="H16" i="14" s="1"/>
  <c r="H19" i="14" s="1"/>
  <c r="H25" i="14" s="1"/>
  <c r="R16" i="14" l="1"/>
  <c r="R19" i="14" s="1"/>
  <c r="R25" i="14" s="1"/>
  <c r="R39" i="14" s="1"/>
  <c r="R41" i="14" s="1"/>
  <c r="R42" i="14" s="1"/>
  <c r="Q16" i="14"/>
  <c r="Q19" i="14" s="1"/>
  <c r="Q25" i="14" s="1"/>
  <c r="Q39" i="14" s="1"/>
  <c r="Q41" i="14" s="1"/>
  <c r="Q42" i="14" s="1"/>
  <c r="P16" i="14"/>
  <c r="P19" i="14" s="1"/>
  <c r="P25" i="14" s="1"/>
  <c r="P39" i="14" s="1"/>
  <c r="P41" i="14" s="1"/>
  <c r="P42" i="14" s="1"/>
  <c r="I25" i="14"/>
  <c r="M25" i="14"/>
  <c r="R30" i="14" a="1"/>
  <c r="R30" i="14" s="1"/>
  <c r="R33" i="14" s="1"/>
  <c r="R37" i="14" s="1"/>
  <c r="R58" i="14" s="1"/>
  <c r="K30" i="14" a="1"/>
  <c r="K30" i="14" s="1"/>
  <c r="K33" i="14" s="1"/>
  <c r="K37" i="14" s="1"/>
  <c r="K58" i="14" s="1"/>
  <c r="K39" i="14"/>
  <c r="K41" i="14" s="1"/>
  <c r="K42" i="14" s="1"/>
  <c r="H39" i="14"/>
  <c r="H41" i="14" s="1"/>
  <c r="H42" i="14" s="1"/>
  <c r="H30" i="14" a="1"/>
  <c r="H30" i="14" s="1"/>
  <c r="H33" i="14" s="1"/>
  <c r="H37" i="14" s="1"/>
  <c r="H58" i="14" s="1"/>
  <c r="L30" i="14" a="1"/>
  <c r="L30" i="14" s="1"/>
  <c r="L33" i="14" s="1"/>
  <c r="L37" i="14" s="1"/>
  <c r="L58" i="14" s="1"/>
  <c r="L39" i="14"/>
  <c r="L41" i="14" s="1"/>
  <c r="L42" i="14" s="1"/>
  <c r="N39" i="14"/>
  <c r="N41" i="14" s="1"/>
  <c r="N42" i="14" s="1"/>
  <c r="N30" i="14" a="1"/>
  <c r="N30" i="14" s="1"/>
  <c r="N33" i="14" s="1"/>
  <c r="N37" i="14" s="1"/>
  <c r="N58" i="14" s="1"/>
  <c r="O30" i="14" a="1"/>
  <c r="O30" i="14" s="1"/>
  <c r="O33" i="14" s="1"/>
  <c r="O37" i="14" s="1"/>
  <c r="O58" i="14" s="1"/>
  <c r="O39" i="14"/>
  <c r="O41" i="14" s="1"/>
  <c r="O42" i="14" s="1"/>
  <c r="J39" i="14"/>
  <c r="J41" i="14" s="1"/>
  <c r="J42" i="14" s="1"/>
  <c r="J30" i="14" a="1"/>
  <c r="J30" i="14" s="1"/>
  <c r="J33" i="14" s="1"/>
  <c r="J37" i="14" s="1"/>
  <c r="J58" i="14" s="1"/>
  <c r="I30" i="14" a="1"/>
  <c r="I30" i="14" s="1"/>
  <c r="I33" i="14" s="1"/>
  <c r="I37" i="14" s="1"/>
  <c r="I58" i="14" s="1"/>
  <c r="I39" i="14"/>
  <c r="I41" i="14" s="1"/>
  <c r="I42" i="14" s="1"/>
  <c r="M30" i="14" a="1"/>
  <c r="M30" i="14" s="1"/>
  <c r="M33" i="14" s="1"/>
  <c r="M37" i="14" s="1"/>
  <c r="M58" i="14" s="1"/>
  <c r="M39" i="14"/>
  <c r="M41" i="14" s="1"/>
  <c r="M42" i="14" s="1"/>
  <c r="P30" i="14" l="1" a="1"/>
  <c r="P30" i="14" s="1"/>
  <c r="P33" i="14" s="1"/>
  <c r="P37" i="14" s="1"/>
  <c r="P58" i="14" s="1"/>
  <c r="Q30" i="14" a="1"/>
  <c r="Q30" i="14" s="1"/>
  <c r="Q33" i="14" s="1"/>
  <c r="Q37" i="14" s="1"/>
  <c r="Q58" i="14" s="1"/>
  <c r="I56" i="13"/>
  <c r="J56" i="13"/>
  <c r="I57" i="13"/>
  <c r="J57" i="13"/>
  <c r="I53" i="13" l="1"/>
  <c r="J53" i="13"/>
  <c r="J40" i="13"/>
  <c r="I40" i="13"/>
  <c r="J64" i="13"/>
  <c r="I64" i="13"/>
  <c r="J63" i="13"/>
  <c r="I63" i="13"/>
  <c r="J61" i="13"/>
  <c r="I16" i="16" s="1"/>
  <c r="I61" i="13"/>
  <c r="H16" i="16" s="1"/>
  <c r="J60" i="13"/>
  <c r="I60" i="13"/>
  <c r="H15" i="16" s="1"/>
  <c r="J55" i="13"/>
  <c r="I55" i="13"/>
  <c r="J52" i="13"/>
  <c r="I52" i="13"/>
  <c r="J51" i="13"/>
  <c r="I51" i="13"/>
  <c r="J50" i="13"/>
  <c r="I50" i="13"/>
  <c r="J35" i="13"/>
  <c r="I35" i="13"/>
  <c r="J32" i="13"/>
  <c r="I32" i="13"/>
  <c r="J31" i="13"/>
  <c r="I31" i="13"/>
  <c r="J29" i="13"/>
  <c r="I29" i="13"/>
  <c r="J28" i="13"/>
  <c r="I28" i="13"/>
  <c r="J27" i="13"/>
  <c r="I27" i="13"/>
  <c r="J24" i="13"/>
  <c r="I24" i="13"/>
  <c r="J23" i="13"/>
  <c r="I23" i="13"/>
  <c r="J22" i="13"/>
  <c r="I22" i="13"/>
  <c r="J21" i="13"/>
  <c r="I21" i="13"/>
  <c r="J18" i="13"/>
  <c r="I18" i="13"/>
  <c r="J17" i="13"/>
  <c r="I17" i="13"/>
  <c r="J15" i="13"/>
  <c r="I15" i="13"/>
  <c r="J14" i="13"/>
  <c r="I14" i="13"/>
  <c r="I12" i="13"/>
  <c r="J12" i="13"/>
  <c r="J11" i="13"/>
  <c r="I11" i="13"/>
  <c r="J43" i="13" l="1"/>
  <c r="I15" i="16"/>
  <c r="I13" i="13"/>
  <c r="I62" i="13"/>
  <c r="J26" i="13"/>
  <c r="K13" i="13"/>
  <c r="K20" i="13"/>
  <c r="K26" i="13"/>
  <c r="I48" i="13"/>
  <c r="I59" i="13"/>
  <c r="J13" i="13"/>
  <c r="I20" i="13"/>
  <c r="J20" i="13"/>
  <c r="I26" i="13"/>
  <c r="J62" i="13"/>
  <c r="I43" i="13"/>
  <c r="J48" i="13"/>
  <c r="K62" i="13"/>
  <c r="J59" i="13"/>
  <c r="K59" i="13"/>
  <c r="K48" i="13"/>
  <c r="K10" i="13"/>
  <c r="I10" i="13"/>
  <c r="J10" i="13"/>
  <c r="I10" i="16" s="1"/>
  <c r="H18" i="16" l="1"/>
  <c r="I18" i="16"/>
  <c r="I16" i="13"/>
  <c r="I19" i="13" s="1"/>
  <c r="H10" i="16"/>
  <c r="K16" i="13"/>
  <c r="J10" i="16"/>
  <c r="J16" i="13"/>
  <c r="J19" i="13" s="1"/>
  <c r="J25" i="13" s="1"/>
  <c r="I11" i="16" s="1"/>
  <c r="I25" i="13"/>
  <c r="I30" i="13" s="1" a="1"/>
  <c r="I30" i="13" s="1"/>
  <c r="I43" i="1"/>
  <c r="J43" i="1"/>
  <c r="K43" i="1"/>
  <c r="L43" i="1"/>
  <c r="M43" i="1"/>
  <c r="N43" i="1"/>
  <c r="O43" i="1"/>
  <c r="P43" i="1"/>
  <c r="Q43" i="1"/>
  <c r="R43" i="1"/>
  <c r="H43" i="1"/>
  <c r="I33" i="13" l="1"/>
  <c r="I37" i="13" s="1"/>
  <c r="H13" i="16"/>
  <c r="K19" i="13"/>
  <c r="I39" i="13"/>
  <c r="I41" i="13" s="1"/>
  <c r="H11" i="16"/>
  <c r="J30" i="13" a="1"/>
  <c r="J30" i="13" s="1"/>
  <c r="J39" i="13"/>
  <c r="J41" i="13" s="1"/>
  <c r="E31" i="10"/>
  <c r="F31" i="10"/>
  <c r="G31" i="10"/>
  <c r="H31" i="10"/>
  <c r="I31" i="10"/>
  <c r="J31" i="10"/>
  <c r="K31" i="10"/>
  <c r="L31" i="10"/>
  <c r="M31" i="10"/>
  <c r="N31" i="10"/>
  <c r="D31" i="10"/>
  <c r="O31" i="10"/>
  <c r="J42" i="13" l="1"/>
  <c r="I12" i="16"/>
  <c r="K25" i="13"/>
  <c r="J33" i="13"/>
  <c r="J37" i="13" s="1"/>
  <c r="I13" i="16"/>
  <c r="I42" i="13"/>
  <c r="H12" i="16"/>
  <c r="I58" i="13"/>
  <c r="H14" i="16"/>
  <c r="M19" i="12"/>
  <c r="L19" i="12"/>
  <c r="K19" i="12"/>
  <c r="J19" i="12"/>
  <c r="I19" i="12"/>
  <c r="H19" i="12"/>
  <c r="G19" i="12"/>
  <c r="F19" i="12"/>
  <c r="E19" i="12"/>
  <c r="D19" i="12"/>
  <c r="N17" i="12"/>
  <c r="M17" i="12"/>
  <c r="L17" i="12"/>
  <c r="W17" i="12" s="1"/>
  <c r="K17" i="12"/>
  <c r="J17" i="12"/>
  <c r="I17" i="12"/>
  <c r="H17" i="12"/>
  <c r="G17" i="12"/>
  <c r="F17" i="12"/>
  <c r="E17" i="12"/>
  <c r="D17" i="12"/>
  <c r="N16" i="12"/>
  <c r="W16" i="12" s="1"/>
  <c r="M16" i="12"/>
  <c r="L16" i="12"/>
  <c r="K16" i="12"/>
  <c r="J16" i="12"/>
  <c r="I16" i="12"/>
  <c r="H16" i="12"/>
  <c r="G16" i="12"/>
  <c r="F16" i="12"/>
  <c r="E16" i="12"/>
  <c r="D16" i="12"/>
  <c r="K15" i="12"/>
  <c r="J15" i="12"/>
  <c r="I15" i="12"/>
  <c r="H15" i="12"/>
  <c r="G15" i="12"/>
  <c r="F15" i="12"/>
  <c r="E15" i="12"/>
  <c r="D15" i="12"/>
  <c r="M13" i="12"/>
  <c r="L13" i="12"/>
  <c r="K13" i="12"/>
  <c r="J13" i="12"/>
  <c r="I13" i="12"/>
  <c r="H13" i="12"/>
  <c r="G13" i="12"/>
  <c r="F13" i="12"/>
  <c r="E13" i="12"/>
  <c r="D13" i="12"/>
  <c r="N12" i="12"/>
  <c r="M12" i="12"/>
  <c r="L12" i="12"/>
  <c r="W12" i="12" s="1"/>
  <c r="K12" i="12"/>
  <c r="J12" i="12"/>
  <c r="I12" i="12"/>
  <c r="H12" i="12"/>
  <c r="G12" i="12"/>
  <c r="F12" i="12"/>
  <c r="E12" i="12"/>
  <c r="D12" i="12"/>
  <c r="K10" i="12"/>
  <c r="K11" i="12" s="1"/>
  <c r="J10" i="12"/>
  <c r="I10" i="12"/>
  <c r="H10" i="12"/>
  <c r="G10" i="12"/>
  <c r="F10" i="12"/>
  <c r="E10" i="12"/>
  <c r="D10" i="12"/>
  <c r="D11" i="12" s="1"/>
  <c r="N9" i="12"/>
  <c r="M9" i="12"/>
  <c r="L9" i="12"/>
  <c r="K9" i="12"/>
  <c r="J9" i="12"/>
  <c r="I9" i="12"/>
  <c r="H9" i="12"/>
  <c r="G9" i="12"/>
  <c r="F9" i="12"/>
  <c r="E9" i="12"/>
  <c r="D9" i="12"/>
  <c r="O11" i="12"/>
  <c r="M19" i="11"/>
  <c r="L19" i="11"/>
  <c r="K19" i="11"/>
  <c r="J19" i="11"/>
  <c r="I19" i="11"/>
  <c r="H19" i="11"/>
  <c r="G19" i="11"/>
  <c r="F19" i="11"/>
  <c r="E19" i="11"/>
  <c r="D19" i="11"/>
  <c r="N17" i="11"/>
  <c r="M17" i="11"/>
  <c r="L17" i="11"/>
  <c r="W17" i="11" s="1"/>
  <c r="K17" i="11"/>
  <c r="J17" i="11"/>
  <c r="I17" i="11"/>
  <c r="H17" i="11"/>
  <c r="G17" i="11"/>
  <c r="F17" i="11"/>
  <c r="E17" i="11"/>
  <c r="D17" i="11"/>
  <c r="N16" i="11"/>
  <c r="M16" i="11"/>
  <c r="L16" i="11"/>
  <c r="W16" i="11" s="1"/>
  <c r="K16" i="11"/>
  <c r="J16" i="11"/>
  <c r="I16" i="11"/>
  <c r="H16" i="11"/>
  <c r="G16" i="11"/>
  <c r="F16" i="11"/>
  <c r="E16" i="11"/>
  <c r="D16" i="11"/>
  <c r="K15" i="11"/>
  <c r="J15" i="11"/>
  <c r="I15" i="11"/>
  <c r="H15" i="11"/>
  <c r="G15" i="11"/>
  <c r="F15" i="11"/>
  <c r="E15" i="11"/>
  <c r="D15" i="11"/>
  <c r="M13" i="11"/>
  <c r="L13" i="11"/>
  <c r="K13" i="11"/>
  <c r="J13" i="11"/>
  <c r="I13" i="11"/>
  <c r="H13" i="11"/>
  <c r="G13" i="11"/>
  <c r="F13" i="11"/>
  <c r="E13" i="11"/>
  <c r="D13" i="11"/>
  <c r="M12" i="11"/>
  <c r="L12" i="11"/>
  <c r="K12" i="11"/>
  <c r="J12" i="11"/>
  <c r="I12" i="11"/>
  <c r="H12" i="11"/>
  <c r="G12" i="11"/>
  <c r="F12" i="11"/>
  <c r="E12" i="11"/>
  <c r="D12" i="11"/>
  <c r="W10" i="11"/>
  <c r="K10" i="11"/>
  <c r="J10" i="11"/>
  <c r="I10" i="11"/>
  <c r="H10" i="11"/>
  <c r="H11" i="11" s="1"/>
  <c r="G10" i="11"/>
  <c r="F10" i="11"/>
  <c r="E10" i="11"/>
  <c r="D10" i="11"/>
  <c r="N9" i="11"/>
  <c r="M9" i="11"/>
  <c r="L9" i="11"/>
  <c r="K9" i="11"/>
  <c r="J9" i="11"/>
  <c r="I9" i="11"/>
  <c r="H9" i="11"/>
  <c r="G9" i="11"/>
  <c r="F9" i="11"/>
  <c r="E9" i="11"/>
  <c r="D9" i="11"/>
  <c r="O11" i="11"/>
  <c r="N17" i="10"/>
  <c r="N16" i="10"/>
  <c r="N12" i="10"/>
  <c r="N9" i="10"/>
  <c r="N11" i="10" s="1"/>
  <c r="M19" i="10"/>
  <c r="M17" i="10"/>
  <c r="M16" i="10"/>
  <c r="M13" i="10"/>
  <c r="M12" i="10"/>
  <c r="M9" i="10"/>
  <c r="M11" i="10" s="1"/>
  <c r="L17" i="10"/>
  <c r="L16" i="10"/>
  <c r="L13" i="10"/>
  <c r="L12" i="10"/>
  <c r="L9" i="10"/>
  <c r="L11" i="10" s="1"/>
  <c r="K19" i="10"/>
  <c r="K17" i="10"/>
  <c r="K16" i="10"/>
  <c r="V16" i="10" s="1"/>
  <c r="K15" i="10"/>
  <c r="K13" i="10"/>
  <c r="K12" i="10"/>
  <c r="K10" i="10"/>
  <c r="K9" i="10"/>
  <c r="J19" i="10"/>
  <c r="J17" i="10"/>
  <c r="J16" i="10"/>
  <c r="J15" i="10"/>
  <c r="J13" i="10"/>
  <c r="J12" i="10"/>
  <c r="J10" i="10"/>
  <c r="J9" i="10"/>
  <c r="I19" i="10"/>
  <c r="I17" i="10"/>
  <c r="I16" i="10"/>
  <c r="I15" i="10"/>
  <c r="I13" i="10"/>
  <c r="I12" i="10"/>
  <c r="I10" i="10"/>
  <c r="I9" i="10"/>
  <c r="H19" i="10"/>
  <c r="H17" i="10"/>
  <c r="H16" i="10"/>
  <c r="H15" i="10"/>
  <c r="V15" i="10" s="1"/>
  <c r="H13" i="10"/>
  <c r="V13" i="10" s="1"/>
  <c r="H12" i="10"/>
  <c r="H10" i="10"/>
  <c r="H9" i="10"/>
  <c r="W19" i="10"/>
  <c r="W17" i="10"/>
  <c r="W16" i="10"/>
  <c r="W15" i="10"/>
  <c r="W13" i="10"/>
  <c r="W12" i="10"/>
  <c r="W10" i="10"/>
  <c r="W9" i="10"/>
  <c r="O11" i="10"/>
  <c r="G19" i="10"/>
  <c r="G17" i="10"/>
  <c r="G16" i="10"/>
  <c r="G15" i="10"/>
  <c r="G13" i="10"/>
  <c r="G12" i="10"/>
  <c r="G10" i="10"/>
  <c r="G9" i="10"/>
  <c r="F19" i="10"/>
  <c r="F17" i="10"/>
  <c r="F16" i="10"/>
  <c r="F15" i="10"/>
  <c r="F13" i="10"/>
  <c r="F12" i="10"/>
  <c r="F10" i="10"/>
  <c r="F9" i="10"/>
  <c r="E19" i="10"/>
  <c r="E17" i="10"/>
  <c r="E16" i="10"/>
  <c r="E15" i="10"/>
  <c r="E13" i="10"/>
  <c r="E12" i="10"/>
  <c r="E10" i="10"/>
  <c r="E9" i="10"/>
  <c r="D19" i="10"/>
  <c r="U19" i="10" s="1"/>
  <c r="D17" i="10"/>
  <c r="U17" i="10" s="1"/>
  <c r="D16" i="10"/>
  <c r="U16" i="10" s="1"/>
  <c r="D15" i="10"/>
  <c r="U15" i="10" s="1"/>
  <c r="D13" i="10"/>
  <c r="U13" i="10" s="1"/>
  <c r="D12" i="10"/>
  <c r="U12" i="10" s="1"/>
  <c r="D10" i="10"/>
  <c r="U10" i="10" s="1"/>
  <c r="D9" i="10"/>
  <c r="U9" i="10" s="1"/>
  <c r="V17" i="10"/>
  <c r="O14" i="11" l="1"/>
  <c r="O14" i="12"/>
  <c r="O14" i="10"/>
  <c r="M14" i="10"/>
  <c r="J11" i="12"/>
  <c r="J14" i="12" s="1"/>
  <c r="J18" i="12" s="1"/>
  <c r="J20" i="12" s="1"/>
  <c r="N11" i="12"/>
  <c r="U12" i="12"/>
  <c r="V12" i="12"/>
  <c r="U13" i="12"/>
  <c r="U15" i="12"/>
  <c r="V15" i="12"/>
  <c r="W15" i="12"/>
  <c r="U16" i="12"/>
  <c r="U17" i="12"/>
  <c r="V17" i="12"/>
  <c r="U19" i="12"/>
  <c r="V19" i="12"/>
  <c r="W19" i="12"/>
  <c r="K14" i="12"/>
  <c r="K18" i="12" s="1"/>
  <c r="K20" i="12" s="1"/>
  <c r="W10" i="12"/>
  <c r="F11" i="12"/>
  <c r="F14" i="12" s="1"/>
  <c r="F18" i="12" s="1"/>
  <c r="F20" i="12" s="1"/>
  <c r="U10" i="12"/>
  <c r="H11" i="12"/>
  <c r="W9" i="12"/>
  <c r="D11" i="11"/>
  <c r="D14" i="11" s="1"/>
  <c r="D18" i="11" s="1"/>
  <c r="D20" i="11" s="1"/>
  <c r="F11" i="11"/>
  <c r="F14" i="11" s="1"/>
  <c r="F18" i="11" s="1"/>
  <c r="F20" i="11" s="1"/>
  <c r="G11" i="11"/>
  <c r="G14" i="11" s="1"/>
  <c r="G18" i="11" s="1"/>
  <c r="G20" i="11" s="1"/>
  <c r="K11" i="11"/>
  <c r="K14" i="11" s="1"/>
  <c r="K18" i="11" s="1"/>
  <c r="K20" i="11" s="1"/>
  <c r="U12" i="11"/>
  <c r="W12" i="11"/>
  <c r="U19" i="11"/>
  <c r="F11" i="10"/>
  <c r="F14" i="10" s="1"/>
  <c r="F18" i="10" s="1"/>
  <c r="F20" i="10" s="1"/>
  <c r="K30" i="13" a="1"/>
  <c r="K30" i="13" s="1"/>
  <c r="K39" i="13"/>
  <c r="J11" i="16"/>
  <c r="J58" i="13"/>
  <c r="I14" i="16"/>
  <c r="U9" i="12"/>
  <c r="G11" i="12"/>
  <c r="G14" i="12" s="1"/>
  <c r="G18" i="12" s="1"/>
  <c r="G20" i="12" s="1"/>
  <c r="U15" i="11"/>
  <c r="E11" i="10"/>
  <c r="E14" i="10" s="1"/>
  <c r="E18" i="10" s="1"/>
  <c r="E20" i="10" s="1"/>
  <c r="V9" i="12"/>
  <c r="H14" i="12"/>
  <c r="H18" i="12" s="1"/>
  <c r="H20" i="12" s="1"/>
  <c r="D14" i="12"/>
  <c r="D18" i="12" s="1"/>
  <c r="D20" i="12" s="1"/>
  <c r="U9" i="11"/>
  <c r="V9" i="11"/>
  <c r="W9" i="11"/>
  <c r="W11" i="11" s="1"/>
  <c r="U10" i="11"/>
  <c r="J11" i="11"/>
  <c r="J14" i="11" s="1"/>
  <c r="J18" i="11" s="1"/>
  <c r="J20" i="11" s="1"/>
  <c r="N11" i="11"/>
  <c r="V12" i="11"/>
  <c r="U13" i="11"/>
  <c r="V15" i="11"/>
  <c r="W15" i="11"/>
  <c r="U16" i="11"/>
  <c r="U17" i="11"/>
  <c r="V17" i="11"/>
  <c r="V19" i="11"/>
  <c r="W19" i="11"/>
  <c r="G11" i="10"/>
  <c r="G14" i="10" s="1"/>
  <c r="G18" i="10" s="1"/>
  <c r="G20" i="10" s="1"/>
  <c r="V19" i="10"/>
  <c r="N14" i="10"/>
  <c r="V12" i="10"/>
  <c r="L14" i="10"/>
  <c r="I11" i="10"/>
  <c r="I14" i="10" s="1"/>
  <c r="I18" i="10" s="1"/>
  <c r="I20" i="10" s="1"/>
  <c r="K11" i="10"/>
  <c r="K14" i="10" s="1"/>
  <c r="K18" i="10" s="1"/>
  <c r="K20" i="10" s="1"/>
  <c r="U11" i="12"/>
  <c r="V13" i="12"/>
  <c r="W13" i="12"/>
  <c r="V16" i="12"/>
  <c r="E11" i="12"/>
  <c r="E14" i="12" s="1"/>
  <c r="E18" i="12" s="1"/>
  <c r="E20" i="12" s="1"/>
  <c r="I11" i="12"/>
  <c r="I14" i="12" s="1"/>
  <c r="I18" i="12" s="1"/>
  <c r="I20" i="12" s="1"/>
  <c r="M11" i="12"/>
  <c r="V10" i="12"/>
  <c r="L11" i="12"/>
  <c r="H14" i="11"/>
  <c r="H18" i="11" s="1"/>
  <c r="H20" i="11" s="1"/>
  <c r="V16" i="11"/>
  <c r="V13" i="11"/>
  <c r="W13" i="11"/>
  <c r="E11" i="11"/>
  <c r="E14" i="11" s="1"/>
  <c r="E18" i="11" s="1"/>
  <c r="E20" i="11" s="1"/>
  <c r="I11" i="11"/>
  <c r="I14" i="11" s="1"/>
  <c r="I18" i="11" s="1"/>
  <c r="I20" i="11" s="1"/>
  <c r="M11" i="11"/>
  <c r="V10" i="11"/>
  <c r="L11" i="11"/>
  <c r="W11" i="10"/>
  <c r="V10" i="10"/>
  <c r="H11" i="10"/>
  <c r="H14" i="10" s="1"/>
  <c r="H18" i="10" s="1"/>
  <c r="H20" i="10" s="1"/>
  <c r="U11" i="10"/>
  <c r="U14" i="10" s="1"/>
  <c r="J11" i="10"/>
  <c r="J14" i="10" s="1"/>
  <c r="J18" i="10" s="1"/>
  <c r="J20" i="10" s="1"/>
  <c r="D11" i="10"/>
  <c r="K75" i="1"/>
  <c r="J75" i="1"/>
  <c r="I75" i="1"/>
  <c r="H75" i="1"/>
  <c r="L14" i="11" l="1"/>
  <c r="W11" i="12"/>
  <c r="L14" i="12"/>
  <c r="W14" i="10"/>
  <c r="L18" i="10"/>
  <c r="O18" i="11"/>
  <c r="O18" i="12"/>
  <c r="O18" i="10"/>
  <c r="N14" i="11"/>
  <c r="N14" i="12"/>
  <c r="N18" i="10"/>
  <c r="M14" i="11"/>
  <c r="M14" i="12"/>
  <c r="M18" i="10"/>
  <c r="U11" i="11"/>
  <c r="U14" i="11" s="1"/>
  <c r="K33" i="13"/>
  <c r="J13" i="16"/>
  <c r="K41" i="13"/>
  <c r="W14" i="12"/>
  <c r="U14" i="12"/>
  <c r="V11" i="12"/>
  <c r="V11" i="11"/>
  <c r="V14" i="11" s="1"/>
  <c r="W14" i="11"/>
  <c r="W18" i="10"/>
  <c r="U18" i="10"/>
  <c r="V9" i="10"/>
  <c r="V11" i="10" s="1"/>
  <c r="V14" i="10" s="1"/>
  <c r="D14" i="10"/>
  <c r="D18" i="10" s="1"/>
  <c r="D20" i="10" s="1"/>
  <c r="P75" i="1"/>
  <c r="L75" i="1"/>
  <c r="O75" i="1"/>
  <c r="R75" i="1"/>
  <c r="N75" i="1"/>
  <c r="L18" i="11" l="1"/>
  <c r="L18" i="12"/>
  <c r="L20" i="10"/>
  <c r="O20" i="11"/>
  <c r="O20" i="12"/>
  <c r="O20" i="10"/>
  <c r="N18" i="11"/>
  <c r="N18" i="12"/>
  <c r="N20" i="10"/>
  <c r="M18" i="11"/>
  <c r="M18" i="12"/>
  <c r="M20" i="10"/>
  <c r="K42" i="13"/>
  <c r="J12" i="16"/>
  <c r="K37" i="13"/>
  <c r="V14" i="12"/>
  <c r="U18" i="12"/>
  <c r="W18" i="12"/>
  <c r="W18" i="11"/>
  <c r="U18" i="11"/>
  <c r="V18" i="11"/>
  <c r="U20" i="10"/>
  <c r="V18" i="10"/>
  <c r="W20" i="10"/>
  <c r="Q75" i="1"/>
  <c r="M75" i="1"/>
  <c r="L20" i="11" l="1"/>
  <c r="L20" i="12"/>
  <c r="N20" i="11"/>
  <c r="N20" i="12"/>
  <c r="M20" i="11"/>
  <c r="M20" i="12"/>
  <c r="K58" i="13"/>
  <c r="J14" i="16"/>
  <c r="W20" i="12"/>
  <c r="U20" i="12"/>
  <c r="V18" i="12"/>
  <c r="V20" i="11"/>
  <c r="U20" i="11"/>
  <c r="W20" i="11"/>
  <c r="V20" i="10"/>
  <c r="V20" i="12" l="1"/>
  <c r="S51" i="5"/>
  <c r="S50" i="5"/>
  <c r="S49" i="5"/>
  <c r="S48" i="5"/>
  <c r="S47" i="5"/>
  <c r="S46" i="5"/>
  <c r="S45" i="5"/>
  <c r="S44" i="5"/>
  <c r="S43" i="5"/>
  <c r="S42" i="5"/>
  <c r="S41" i="5"/>
  <c r="S40" i="5"/>
  <c r="Q118" i="8"/>
  <c r="P118" i="8"/>
  <c r="O118" i="8"/>
  <c r="N118" i="8"/>
  <c r="S116" i="8"/>
  <c r="Q116" i="8"/>
  <c r="P116" i="8"/>
  <c r="O116" i="8"/>
  <c r="N116" i="8"/>
  <c r="Q115" i="8"/>
  <c r="P115" i="8"/>
  <c r="O115" i="8"/>
  <c r="N115" i="8"/>
  <c r="R115" i="8" s="1"/>
  <c r="Q114" i="8"/>
  <c r="P114" i="8"/>
  <c r="O114" i="8"/>
  <c r="N114" i="8"/>
  <c r="P113" i="8"/>
  <c r="P117" i="8" s="1"/>
  <c r="P119" i="8" s="1"/>
  <c r="Q112" i="8"/>
  <c r="P112" i="8"/>
  <c r="O112" i="8"/>
  <c r="N112" i="8"/>
  <c r="Q111" i="8"/>
  <c r="P111" i="8"/>
  <c r="O111" i="8"/>
  <c r="N111" i="8"/>
  <c r="R111" i="8" s="1"/>
  <c r="Q110" i="8"/>
  <c r="Q113" i="8" s="1"/>
  <c r="Q117" i="8" s="1"/>
  <c r="Q119" i="8" s="1"/>
  <c r="Q109" i="8"/>
  <c r="P109" i="8"/>
  <c r="P110" i="8" s="1"/>
  <c r="O109" i="8"/>
  <c r="N109" i="8"/>
  <c r="R109" i="8" s="1"/>
  <c r="S108" i="8"/>
  <c r="Q108" i="8"/>
  <c r="P108" i="8"/>
  <c r="O108" i="8"/>
  <c r="O110" i="8" s="1"/>
  <c r="O113" i="8" s="1"/>
  <c r="O117" i="8" s="1"/>
  <c r="O119" i="8" s="1"/>
  <c r="N108" i="8"/>
  <c r="N110" i="8" s="1"/>
  <c r="Q105" i="8"/>
  <c r="P105" i="8"/>
  <c r="O105" i="8"/>
  <c r="N105" i="8"/>
  <c r="S103" i="8"/>
  <c r="Q103" i="8"/>
  <c r="P103" i="8"/>
  <c r="O103" i="8"/>
  <c r="N103" i="8"/>
  <c r="R103" i="8" s="1"/>
  <c r="T103" i="8" s="1"/>
  <c r="Q102" i="8"/>
  <c r="P102" i="8"/>
  <c r="O102" i="8"/>
  <c r="N102" i="8"/>
  <c r="R102" i="8" s="1"/>
  <c r="Q101" i="8"/>
  <c r="P101" i="8"/>
  <c r="O101" i="8"/>
  <c r="N101" i="8"/>
  <c r="Q99" i="8"/>
  <c r="P99" i="8"/>
  <c r="O99" i="8"/>
  <c r="N99" i="8"/>
  <c r="R99" i="8" s="1"/>
  <c r="Q98" i="8"/>
  <c r="P98" i="8"/>
  <c r="O98" i="8"/>
  <c r="N98" i="8"/>
  <c r="R98" i="8" s="1"/>
  <c r="Q97" i="8"/>
  <c r="Q100" i="8" s="1"/>
  <c r="Q104" i="8" s="1"/>
  <c r="Q106" i="8" s="1"/>
  <c r="Q96" i="8"/>
  <c r="P96" i="8"/>
  <c r="P97" i="8" s="1"/>
  <c r="P100" i="8" s="1"/>
  <c r="P104" i="8" s="1"/>
  <c r="P106" i="8" s="1"/>
  <c r="O96" i="8"/>
  <c r="N96" i="8"/>
  <c r="S95" i="8"/>
  <c r="Q95" i="8"/>
  <c r="P95" i="8"/>
  <c r="O95" i="8"/>
  <c r="O97" i="8" s="1"/>
  <c r="O100" i="8" s="1"/>
  <c r="O104" i="8" s="1"/>
  <c r="O106" i="8" s="1"/>
  <c r="N95" i="8"/>
  <c r="N97" i="8" s="1"/>
  <c r="Q88" i="8"/>
  <c r="P88" i="8"/>
  <c r="O88" i="8"/>
  <c r="N88" i="8"/>
  <c r="H88" i="8"/>
  <c r="Q87" i="8"/>
  <c r="Q89" i="8" s="1"/>
  <c r="S86" i="8"/>
  <c r="Q86" i="8"/>
  <c r="P86" i="8"/>
  <c r="O86" i="8"/>
  <c r="N86" i="8"/>
  <c r="R86" i="8" s="1"/>
  <c r="T86" i="8" s="1"/>
  <c r="H86" i="8"/>
  <c r="J86" i="8" s="1"/>
  <c r="Q85" i="8"/>
  <c r="P85" i="8"/>
  <c r="O85" i="8"/>
  <c r="N85" i="8"/>
  <c r="H85" i="8"/>
  <c r="Q84" i="8"/>
  <c r="P84" i="8"/>
  <c r="O84" i="8"/>
  <c r="J84" i="8"/>
  <c r="H84" i="8"/>
  <c r="S114" i="8" s="1"/>
  <c r="Q82" i="8"/>
  <c r="P82" i="8"/>
  <c r="O82" i="8"/>
  <c r="N82" i="8"/>
  <c r="R82" i="8" s="1"/>
  <c r="H82" i="8"/>
  <c r="Q81" i="8"/>
  <c r="P81" i="8"/>
  <c r="O81" i="8"/>
  <c r="N81" i="8"/>
  <c r="R81" i="8" s="1"/>
  <c r="T81" i="8" s="1"/>
  <c r="J81" i="8"/>
  <c r="H81" i="8"/>
  <c r="S81" i="8" s="1"/>
  <c r="N80" i="8"/>
  <c r="N83" i="8" s="1"/>
  <c r="I80" i="8"/>
  <c r="I83" i="8" s="1"/>
  <c r="I87" i="8" s="1"/>
  <c r="I89" i="8" s="1"/>
  <c r="G80" i="8"/>
  <c r="G83" i="8" s="1"/>
  <c r="G87" i="8" s="1"/>
  <c r="G89" i="8" s="1"/>
  <c r="F80" i="8"/>
  <c r="F83" i="8" s="1"/>
  <c r="F87" i="8" s="1"/>
  <c r="F89" i="8" s="1"/>
  <c r="E80" i="8"/>
  <c r="E83" i="8" s="1"/>
  <c r="E87" i="8" s="1"/>
  <c r="E89" i="8" s="1"/>
  <c r="D80" i="8"/>
  <c r="D83" i="8" s="1"/>
  <c r="Q79" i="8"/>
  <c r="P79" i="8"/>
  <c r="O79" i="8"/>
  <c r="H79" i="8"/>
  <c r="Q78" i="8"/>
  <c r="Q80" i="8" s="1"/>
  <c r="Q83" i="8" s="1"/>
  <c r="P78" i="8"/>
  <c r="P80" i="8" s="1"/>
  <c r="P83" i="8" s="1"/>
  <c r="P87" i="8" s="1"/>
  <c r="P89" i="8" s="1"/>
  <c r="O78" i="8"/>
  <c r="O80" i="8" s="1"/>
  <c r="O83" i="8" s="1"/>
  <c r="O87" i="8" s="1"/>
  <c r="O89" i="8" s="1"/>
  <c r="N78" i="8"/>
  <c r="J78" i="8"/>
  <c r="H78" i="8"/>
  <c r="S78" i="8" s="1"/>
  <c r="Q75" i="8"/>
  <c r="P75" i="8"/>
  <c r="O75" i="8"/>
  <c r="N75" i="8"/>
  <c r="R75" i="8" s="1"/>
  <c r="H75" i="8"/>
  <c r="F74" i="8"/>
  <c r="F76" i="8" s="1"/>
  <c r="S73" i="8"/>
  <c r="Q73" i="8"/>
  <c r="P73" i="8"/>
  <c r="O73" i="8"/>
  <c r="N73" i="8"/>
  <c r="H73" i="8"/>
  <c r="J73" i="8" s="1"/>
  <c r="Q72" i="8"/>
  <c r="P72" i="8"/>
  <c r="O72" i="8"/>
  <c r="N72" i="8"/>
  <c r="R72" i="8" s="1"/>
  <c r="H72" i="8"/>
  <c r="Q71" i="8"/>
  <c r="P71" i="8"/>
  <c r="O71" i="8"/>
  <c r="N71" i="8"/>
  <c r="R71" i="8" s="1"/>
  <c r="J71" i="8"/>
  <c r="H71" i="8"/>
  <c r="S101" i="8" s="1"/>
  <c r="N70" i="8"/>
  <c r="Q69" i="8"/>
  <c r="P69" i="8"/>
  <c r="O69" i="8"/>
  <c r="N69" i="8"/>
  <c r="H69" i="8"/>
  <c r="Q68" i="8"/>
  <c r="P68" i="8"/>
  <c r="O68" i="8"/>
  <c r="N68" i="8"/>
  <c r="J68" i="8"/>
  <c r="H68" i="8"/>
  <c r="S68" i="8" s="1"/>
  <c r="N67" i="8"/>
  <c r="I67" i="8"/>
  <c r="I70" i="8" s="1"/>
  <c r="I74" i="8" s="1"/>
  <c r="I76" i="8" s="1"/>
  <c r="G67" i="8"/>
  <c r="G70" i="8" s="1"/>
  <c r="G74" i="8" s="1"/>
  <c r="G76" i="8" s="1"/>
  <c r="F67" i="8"/>
  <c r="F70" i="8" s="1"/>
  <c r="E67" i="8"/>
  <c r="E70" i="8" s="1"/>
  <c r="E74" i="8" s="1"/>
  <c r="E76" i="8" s="1"/>
  <c r="D67" i="8"/>
  <c r="D70" i="8" s="1"/>
  <c r="Q66" i="8"/>
  <c r="P66" i="8"/>
  <c r="O66" i="8"/>
  <c r="N66" i="8"/>
  <c r="H66" i="8"/>
  <c r="Q65" i="8"/>
  <c r="Q67" i="8" s="1"/>
  <c r="P65" i="8"/>
  <c r="P67" i="8" s="1"/>
  <c r="P70" i="8" s="1"/>
  <c r="P74" i="8" s="1"/>
  <c r="P76" i="8" s="1"/>
  <c r="O65" i="8"/>
  <c r="O67" i="8" s="1"/>
  <c r="O70" i="8" s="1"/>
  <c r="N65" i="8"/>
  <c r="J65" i="8"/>
  <c r="H65" i="8"/>
  <c r="S65" i="8" s="1"/>
  <c r="Q58" i="8"/>
  <c r="P58" i="8"/>
  <c r="O58" i="8"/>
  <c r="N58" i="8"/>
  <c r="R58" i="8" s="1"/>
  <c r="T58" i="8" s="1"/>
  <c r="H58" i="8"/>
  <c r="J58" i="8" s="1"/>
  <c r="Q56" i="8"/>
  <c r="P56" i="8"/>
  <c r="O56" i="8"/>
  <c r="N56" i="8"/>
  <c r="H56" i="8"/>
  <c r="J56" i="8" s="1"/>
  <c r="Q55" i="8"/>
  <c r="P55" i="8"/>
  <c r="O55" i="8"/>
  <c r="N55" i="8"/>
  <c r="H55" i="8"/>
  <c r="J55" i="8" s="1"/>
  <c r="Q54" i="8"/>
  <c r="P54" i="8"/>
  <c r="O54" i="8"/>
  <c r="N54" i="8"/>
  <c r="R54" i="8" s="1"/>
  <c r="T54" i="8" s="1"/>
  <c r="D54" i="8"/>
  <c r="N84" i="8" s="1"/>
  <c r="R84" i="8" s="1"/>
  <c r="I53" i="8"/>
  <c r="I57" i="8" s="1"/>
  <c r="I59" i="8" s="1"/>
  <c r="E53" i="8"/>
  <c r="E57" i="8" s="1"/>
  <c r="E59" i="8" s="1"/>
  <c r="Q52" i="8"/>
  <c r="P52" i="8"/>
  <c r="O52" i="8"/>
  <c r="N52" i="8"/>
  <c r="R52" i="8" s="1"/>
  <c r="T52" i="8" s="1"/>
  <c r="H52" i="8"/>
  <c r="J52" i="8" s="1"/>
  <c r="Q51" i="8"/>
  <c r="P51" i="8"/>
  <c r="O51" i="8"/>
  <c r="N51" i="8"/>
  <c r="J51" i="8"/>
  <c r="H51" i="8"/>
  <c r="I50" i="8"/>
  <c r="G50" i="8"/>
  <c r="G53" i="8" s="1"/>
  <c r="G57" i="8" s="1"/>
  <c r="G59" i="8" s="1"/>
  <c r="F50" i="8"/>
  <c r="F53" i="8" s="1"/>
  <c r="F57" i="8" s="1"/>
  <c r="F59" i="8" s="1"/>
  <c r="E50" i="8"/>
  <c r="Q49" i="8"/>
  <c r="P49" i="8"/>
  <c r="O49" i="8"/>
  <c r="H49" i="8"/>
  <c r="J49" i="8" s="1"/>
  <c r="D49" i="8"/>
  <c r="N79" i="8" s="1"/>
  <c r="Q48" i="8"/>
  <c r="Q50" i="8" s="1"/>
  <c r="P48" i="8"/>
  <c r="P50" i="8" s="1"/>
  <c r="P53" i="8" s="1"/>
  <c r="P57" i="8" s="1"/>
  <c r="P59" i="8" s="1"/>
  <c r="O48" i="8"/>
  <c r="O50" i="8" s="1"/>
  <c r="O53" i="8" s="1"/>
  <c r="N48" i="8"/>
  <c r="R48" i="8" s="1"/>
  <c r="J48" i="8"/>
  <c r="H48" i="8"/>
  <c r="S45" i="8"/>
  <c r="Q45" i="8"/>
  <c r="P45" i="8"/>
  <c r="O45" i="8"/>
  <c r="N45" i="8"/>
  <c r="J45" i="8"/>
  <c r="H45" i="8"/>
  <c r="S43" i="8"/>
  <c r="P43" i="8"/>
  <c r="O43" i="8"/>
  <c r="N43" i="8"/>
  <c r="H43" i="8"/>
  <c r="J43" i="8" s="1"/>
  <c r="S42" i="8"/>
  <c r="P42" i="8"/>
  <c r="O42" i="8"/>
  <c r="N42" i="8"/>
  <c r="H42" i="8"/>
  <c r="J42" i="8" s="1"/>
  <c r="S41" i="8"/>
  <c r="P41" i="8"/>
  <c r="O41" i="8"/>
  <c r="N41" i="8"/>
  <c r="H41" i="8"/>
  <c r="J41" i="8" s="1"/>
  <c r="S39" i="8"/>
  <c r="Q39" i="8"/>
  <c r="P39" i="8"/>
  <c r="O39" i="8"/>
  <c r="N39" i="8"/>
  <c r="R39" i="8" s="1"/>
  <c r="T39" i="8" s="1"/>
  <c r="J39" i="8"/>
  <c r="H39" i="8"/>
  <c r="S38" i="8"/>
  <c r="Q38" i="8"/>
  <c r="P38" i="8"/>
  <c r="O38" i="8"/>
  <c r="N38" i="8"/>
  <c r="H38" i="8"/>
  <c r="J38" i="8" s="1"/>
  <c r="P37" i="8"/>
  <c r="P40" i="8" s="1"/>
  <c r="P44" i="8" s="1"/>
  <c r="P46" i="8" s="1"/>
  <c r="I37" i="8"/>
  <c r="I40" i="8" s="1"/>
  <c r="I44" i="8" s="1"/>
  <c r="I46" i="8" s="1"/>
  <c r="G37" i="8"/>
  <c r="G40" i="8" s="1"/>
  <c r="G44" i="8" s="1"/>
  <c r="G46" i="8" s="1"/>
  <c r="F37" i="8"/>
  <c r="F40" i="8" s="1"/>
  <c r="F44" i="8" s="1"/>
  <c r="F46" i="8" s="1"/>
  <c r="E37" i="8"/>
  <c r="E40" i="8" s="1"/>
  <c r="E44" i="8" s="1"/>
  <c r="E46" i="8" s="1"/>
  <c r="D37" i="8"/>
  <c r="D40" i="8" s="1"/>
  <c r="S36" i="8"/>
  <c r="Q36" i="8"/>
  <c r="P36" i="8"/>
  <c r="O36" i="8"/>
  <c r="N36" i="8"/>
  <c r="R36" i="8" s="1"/>
  <c r="T36" i="8" s="1"/>
  <c r="J36" i="8"/>
  <c r="H36" i="8"/>
  <c r="S35" i="8"/>
  <c r="S37" i="8" s="1"/>
  <c r="S40" i="8" s="1"/>
  <c r="S44" i="8" s="1"/>
  <c r="S46" i="8" s="1"/>
  <c r="Q35" i="8"/>
  <c r="Q37" i="8" s="1"/>
  <c r="Q40" i="8" s="1"/>
  <c r="Q44" i="8" s="1"/>
  <c r="P35" i="8"/>
  <c r="O35" i="8"/>
  <c r="O37" i="8" s="1"/>
  <c r="N35" i="8"/>
  <c r="R35" i="8" s="1"/>
  <c r="T35" i="8" s="1"/>
  <c r="J35" i="8"/>
  <c r="H35" i="8"/>
  <c r="R28" i="8"/>
  <c r="I28" i="8"/>
  <c r="S58" i="8" s="1"/>
  <c r="H28" i="8"/>
  <c r="R26" i="8"/>
  <c r="I26" i="8"/>
  <c r="S56" i="8" s="1"/>
  <c r="H26" i="8"/>
  <c r="R25" i="8"/>
  <c r="S25" i="8" s="1"/>
  <c r="T25" i="8" s="1"/>
  <c r="I25" i="8"/>
  <c r="S55" i="8" s="1"/>
  <c r="H25" i="8"/>
  <c r="J25" i="8" s="1"/>
  <c r="R24" i="8"/>
  <c r="I24" i="8"/>
  <c r="S54" i="8" s="1"/>
  <c r="H24" i="8"/>
  <c r="P23" i="8"/>
  <c r="P27" i="8" s="1"/>
  <c r="P29" i="8" s="1"/>
  <c r="O23" i="8"/>
  <c r="O27" i="8" s="1"/>
  <c r="O29" i="8" s="1"/>
  <c r="D23" i="8"/>
  <c r="D27" i="8" s="1"/>
  <c r="R22" i="8"/>
  <c r="I22" i="8"/>
  <c r="S52" i="8" s="1"/>
  <c r="H22" i="8"/>
  <c r="R21" i="8"/>
  <c r="S21" i="8" s="1"/>
  <c r="T21" i="8" s="1"/>
  <c r="I21" i="8"/>
  <c r="S51" i="8" s="1"/>
  <c r="H21" i="8"/>
  <c r="J21" i="8" s="1"/>
  <c r="Q20" i="8"/>
  <c r="Q23" i="8" s="1"/>
  <c r="Q27" i="8" s="1"/>
  <c r="Q29" i="8" s="1"/>
  <c r="P20" i="8"/>
  <c r="O20" i="8"/>
  <c r="N20" i="8"/>
  <c r="G20" i="8"/>
  <c r="G23" i="8" s="1"/>
  <c r="G27" i="8" s="1"/>
  <c r="G29" i="8" s="1"/>
  <c r="F20" i="8"/>
  <c r="F23" i="8" s="1"/>
  <c r="F27" i="8" s="1"/>
  <c r="F29" i="8" s="1"/>
  <c r="E20" i="8"/>
  <c r="E23" i="8" s="1"/>
  <c r="D20" i="8"/>
  <c r="H20" i="8" s="1"/>
  <c r="I20" i="8" s="1"/>
  <c r="R19" i="8"/>
  <c r="S19" i="8" s="1"/>
  <c r="I19" i="8"/>
  <c r="S49" i="8" s="1"/>
  <c r="H19" i="8"/>
  <c r="J19" i="8" s="1"/>
  <c r="R18" i="8"/>
  <c r="S18" i="8" s="1"/>
  <c r="I18" i="8"/>
  <c r="H18" i="8"/>
  <c r="T15" i="8"/>
  <c r="R15" i="8"/>
  <c r="J15" i="8"/>
  <c r="H15" i="8"/>
  <c r="T13" i="8"/>
  <c r="R13" i="8"/>
  <c r="J13" i="8"/>
  <c r="H13" i="8"/>
  <c r="T12" i="8"/>
  <c r="R12" i="8"/>
  <c r="J12" i="8"/>
  <c r="H12" i="8"/>
  <c r="T11" i="8"/>
  <c r="R11" i="8"/>
  <c r="J11" i="8"/>
  <c r="H11" i="8"/>
  <c r="S10" i="8"/>
  <c r="S14" i="8" s="1"/>
  <c r="S16" i="8" s="1"/>
  <c r="P10" i="8"/>
  <c r="P14" i="8" s="1"/>
  <c r="P16" i="8" s="1"/>
  <c r="O10" i="8"/>
  <c r="O14" i="8" s="1"/>
  <c r="O16" i="8" s="1"/>
  <c r="N10" i="8"/>
  <c r="R10" i="8" s="1"/>
  <c r="T10" i="8" s="1"/>
  <c r="G10" i="8"/>
  <c r="G14" i="8" s="1"/>
  <c r="G16" i="8" s="1"/>
  <c r="D10" i="8"/>
  <c r="T9" i="8"/>
  <c r="R9" i="8"/>
  <c r="J9" i="8"/>
  <c r="H9" i="8"/>
  <c r="T8" i="8"/>
  <c r="R8" i="8"/>
  <c r="J8" i="8"/>
  <c r="H8" i="8"/>
  <c r="S7" i="8"/>
  <c r="Q7" i="8"/>
  <c r="Q10" i="8" s="1"/>
  <c r="Q14" i="8" s="1"/>
  <c r="Q16" i="8" s="1"/>
  <c r="P7" i="8"/>
  <c r="O7" i="8"/>
  <c r="N7" i="8"/>
  <c r="R7" i="8" s="1"/>
  <c r="T7" i="8" s="1"/>
  <c r="I7" i="8"/>
  <c r="I10" i="8" s="1"/>
  <c r="I14" i="8" s="1"/>
  <c r="I16" i="8" s="1"/>
  <c r="G7" i="8"/>
  <c r="F7" i="8"/>
  <c r="F10" i="8" s="1"/>
  <c r="F14" i="8" s="1"/>
  <c r="F16" i="8" s="1"/>
  <c r="E7" i="8"/>
  <c r="E10" i="8" s="1"/>
  <c r="E14" i="8" s="1"/>
  <c r="E16" i="8" s="1"/>
  <c r="D7" i="8"/>
  <c r="H7" i="8" s="1"/>
  <c r="J7" i="8" s="1"/>
  <c r="T6" i="8"/>
  <c r="R6" i="8"/>
  <c r="J6" i="8"/>
  <c r="H6" i="8"/>
  <c r="T5" i="8"/>
  <c r="R5" i="8"/>
  <c r="J5" i="8"/>
  <c r="H5" i="8"/>
  <c r="H50" i="5"/>
  <c r="J50" i="5" s="1"/>
  <c r="H48" i="5"/>
  <c r="J48" i="5" s="1"/>
  <c r="H47" i="5"/>
  <c r="J47" i="5" s="1"/>
  <c r="H46" i="5"/>
  <c r="J46" i="5" s="1"/>
  <c r="H44" i="5"/>
  <c r="J44" i="5" s="1"/>
  <c r="H43" i="5"/>
  <c r="J43" i="5" s="1"/>
  <c r="I42" i="5"/>
  <c r="I45" i="5" s="1"/>
  <c r="I49" i="5" s="1"/>
  <c r="I51" i="5" s="1"/>
  <c r="G42" i="5"/>
  <c r="G45" i="5" s="1"/>
  <c r="G49" i="5" s="1"/>
  <c r="G51" i="5" s="1"/>
  <c r="F42" i="5"/>
  <c r="F45" i="5" s="1"/>
  <c r="F49" i="5" s="1"/>
  <c r="F51" i="5" s="1"/>
  <c r="E42" i="5"/>
  <c r="E45" i="5" s="1"/>
  <c r="E49" i="5" s="1"/>
  <c r="E51" i="5" s="1"/>
  <c r="D42" i="5"/>
  <c r="H41" i="5"/>
  <c r="J41" i="5" s="1"/>
  <c r="H40" i="5"/>
  <c r="J40" i="5" s="1"/>
  <c r="H42" i="5" l="1"/>
  <c r="J42" i="5" s="1"/>
  <c r="E27" i="8"/>
  <c r="E29" i="8" s="1"/>
  <c r="T48" i="8"/>
  <c r="N74" i="8"/>
  <c r="R70" i="8"/>
  <c r="N14" i="8"/>
  <c r="N23" i="8"/>
  <c r="R20" i="8"/>
  <c r="D29" i="8"/>
  <c r="H27" i="8"/>
  <c r="S24" i="8"/>
  <c r="T24" i="8" s="1"/>
  <c r="Q46" i="8"/>
  <c r="R41" i="8"/>
  <c r="T41" i="8" s="1"/>
  <c r="R43" i="8"/>
  <c r="T43" i="8" s="1"/>
  <c r="Q53" i="8"/>
  <c r="Q57" i="8" s="1"/>
  <c r="Q59" i="8" s="1"/>
  <c r="R51" i="8"/>
  <c r="T51" i="8" s="1"/>
  <c r="H10" i="8"/>
  <c r="J10" i="8" s="1"/>
  <c r="J20" i="8"/>
  <c r="T26" i="8"/>
  <c r="S26" i="8"/>
  <c r="R67" i="8"/>
  <c r="T75" i="8"/>
  <c r="I27" i="8"/>
  <c r="S22" i="8"/>
  <c r="T22" i="8" s="1"/>
  <c r="J18" i="8"/>
  <c r="S48" i="8"/>
  <c r="S50" i="8" s="1"/>
  <c r="S53" i="8" s="1"/>
  <c r="S57" i="8" s="1"/>
  <c r="S59" i="8" s="1"/>
  <c r="T18" i="8"/>
  <c r="T19" i="8"/>
  <c r="S28" i="8"/>
  <c r="T28" i="8" s="1"/>
  <c r="O40" i="8"/>
  <c r="O44" i="8" s="1"/>
  <c r="O46" i="8" s="1"/>
  <c r="H40" i="8"/>
  <c r="J40" i="8" s="1"/>
  <c r="D44" i="8"/>
  <c r="R38" i="8"/>
  <c r="T38" i="8" s="1"/>
  <c r="R42" i="8"/>
  <c r="T42" i="8" s="1"/>
  <c r="R45" i="8"/>
  <c r="T45" i="8" s="1"/>
  <c r="O57" i="8"/>
  <c r="O59" i="8" s="1"/>
  <c r="D74" i="8"/>
  <c r="H70" i="8"/>
  <c r="J70" i="8" s="1"/>
  <c r="S102" i="8"/>
  <c r="J72" i="8"/>
  <c r="S72" i="8"/>
  <c r="T72" i="8" s="1"/>
  <c r="N87" i="8"/>
  <c r="R83" i="8"/>
  <c r="T98" i="8"/>
  <c r="T102" i="8"/>
  <c r="S80" i="8"/>
  <c r="J82" i="8"/>
  <c r="S82" i="8"/>
  <c r="T82" i="8" s="1"/>
  <c r="D14" i="8"/>
  <c r="D50" i="8"/>
  <c r="T84" i="8"/>
  <c r="R55" i="8"/>
  <c r="T55" i="8" s="1"/>
  <c r="Q70" i="8"/>
  <c r="Q74" i="8" s="1"/>
  <c r="Q76" i="8" s="1"/>
  <c r="R68" i="8"/>
  <c r="T68" i="8" s="1"/>
  <c r="J69" i="8"/>
  <c r="S69" i="8"/>
  <c r="R80" i="8"/>
  <c r="S118" i="8"/>
  <c r="J88" i="8"/>
  <c r="S88" i="8"/>
  <c r="R101" i="8"/>
  <c r="T101" i="8" s="1"/>
  <c r="R105" i="8"/>
  <c r="N37" i="8"/>
  <c r="N49" i="8"/>
  <c r="R49" i="8" s="1"/>
  <c r="T49" i="8" s="1"/>
  <c r="R65" i="8"/>
  <c r="T65" i="8" s="1"/>
  <c r="J66" i="8"/>
  <c r="S96" i="8"/>
  <c r="S97" i="8" s="1"/>
  <c r="S100" i="8" s="1"/>
  <c r="S104" i="8" s="1"/>
  <c r="S106" i="8" s="1"/>
  <c r="S66" i="8"/>
  <c r="S67" i="8" s="1"/>
  <c r="S70" i="8" s="1"/>
  <c r="S74" i="8" s="1"/>
  <c r="S76" i="8" s="1"/>
  <c r="R69" i="8"/>
  <c r="R78" i="8"/>
  <c r="T78" i="8" s="1"/>
  <c r="J79" i="8"/>
  <c r="S109" i="8"/>
  <c r="T109" i="8" s="1"/>
  <c r="S79" i="8"/>
  <c r="S115" i="8"/>
  <c r="T115" i="8" s="1"/>
  <c r="J85" i="8"/>
  <c r="S85" i="8"/>
  <c r="R88" i="8"/>
  <c r="N100" i="8"/>
  <c r="R97" i="8"/>
  <c r="S99" i="8"/>
  <c r="T99" i="8" s="1"/>
  <c r="R114" i="8"/>
  <c r="T114" i="8" s="1"/>
  <c r="R118" i="8"/>
  <c r="T118" i="8" s="1"/>
  <c r="J22" i="8"/>
  <c r="H23" i="8"/>
  <c r="J24" i="8"/>
  <c r="J26" i="8"/>
  <c r="J28" i="8"/>
  <c r="H37" i="8"/>
  <c r="J37" i="8" s="1"/>
  <c r="R79" i="8"/>
  <c r="T79" i="8" s="1"/>
  <c r="R56" i="8"/>
  <c r="T56" i="8" s="1"/>
  <c r="O74" i="8"/>
  <c r="O76" i="8" s="1"/>
  <c r="R66" i="8"/>
  <c r="R73" i="8"/>
  <c r="T73" i="8" s="1"/>
  <c r="S105" i="8"/>
  <c r="J75" i="8"/>
  <c r="S75" i="8"/>
  <c r="D87" i="8"/>
  <c r="H83" i="8"/>
  <c r="J83" i="8" s="1"/>
  <c r="R85" i="8"/>
  <c r="R96" i="8"/>
  <c r="N113" i="8"/>
  <c r="R110" i="8"/>
  <c r="R112" i="8"/>
  <c r="S112" i="8"/>
  <c r="R116" i="8"/>
  <c r="T116" i="8" s="1"/>
  <c r="H54" i="8"/>
  <c r="J54" i="8" s="1"/>
  <c r="R95" i="8"/>
  <c r="T95" i="8" s="1"/>
  <c r="R108" i="8"/>
  <c r="T108" i="8" s="1"/>
  <c r="H67" i="8"/>
  <c r="J67" i="8" s="1"/>
  <c r="H80" i="8"/>
  <c r="J80" i="8" s="1"/>
  <c r="S98" i="8"/>
  <c r="S111" i="8"/>
  <c r="T111" i="8" s="1"/>
  <c r="S71" i="8"/>
  <c r="T71" i="8" s="1"/>
  <c r="S84" i="8"/>
  <c r="D45" i="5"/>
  <c r="R87" i="8" l="1"/>
  <c r="N89" i="8"/>
  <c r="R89" i="8" s="1"/>
  <c r="J27" i="8"/>
  <c r="N27" i="8"/>
  <c r="R23" i="8"/>
  <c r="N117" i="8"/>
  <c r="R113" i="8"/>
  <c r="T97" i="8"/>
  <c r="R14" i="8"/>
  <c r="T14" i="8" s="1"/>
  <c r="N16" i="8"/>
  <c r="R16" i="8" s="1"/>
  <c r="T16" i="8" s="1"/>
  <c r="T112" i="8"/>
  <c r="T66" i="8"/>
  <c r="H50" i="8"/>
  <c r="J50" i="8" s="1"/>
  <c r="D53" i="8"/>
  <c r="T67" i="8"/>
  <c r="T20" i="8"/>
  <c r="T70" i="8"/>
  <c r="H87" i="8"/>
  <c r="J87" i="8" s="1"/>
  <c r="D89" i="8"/>
  <c r="H89" i="8" s="1"/>
  <c r="J89" i="8" s="1"/>
  <c r="N40" i="8"/>
  <c r="R37" i="8"/>
  <c r="T37" i="8" s="1"/>
  <c r="N50" i="8"/>
  <c r="H29" i="8"/>
  <c r="I29" i="8"/>
  <c r="T96" i="8"/>
  <c r="N104" i="8"/>
  <c r="R100" i="8"/>
  <c r="T100" i="8" s="1"/>
  <c r="T105" i="8"/>
  <c r="S83" i="8"/>
  <c r="S87" i="8" s="1"/>
  <c r="S89" i="8" s="1"/>
  <c r="H74" i="8"/>
  <c r="J74" i="8" s="1"/>
  <c r="D76" i="8"/>
  <c r="H76" i="8" s="1"/>
  <c r="J76" i="8" s="1"/>
  <c r="S110" i="8"/>
  <c r="S113" i="8" s="1"/>
  <c r="S117" i="8" s="1"/>
  <c r="S119" i="8" s="1"/>
  <c r="T85" i="8"/>
  <c r="T88" i="8"/>
  <c r="T69" i="8"/>
  <c r="T80" i="8"/>
  <c r="D16" i="8"/>
  <c r="H16" i="8" s="1"/>
  <c r="J16" i="8" s="1"/>
  <c r="H14" i="8"/>
  <c r="J14" i="8" s="1"/>
  <c r="H44" i="8"/>
  <c r="J44" i="8" s="1"/>
  <c r="D46" i="8"/>
  <c r="H46" i="8" s="1"/>
  <c r="J46" i="8" s="1"/>
  <c r="S20" i="8"/>
  <c r="R74" i="8"/>
  <c r="T74" i="8" s="1"/>
  <c r="N76" i="8"/>
  <c r="R76" i="8" s="1"/>
  <c r="T76" i="8" s="1"/>
  <c r="I23" i="8"/>
  <c r="J23" i="8" s="1"/>
  <c r="D49" i="5"/>
  <c r="H45" i="5"/>
  <c r="J45" i="5" s="1"/>
  <c r="R117" i="8" l="1"/>
  <c r="T117" i="8" s="1"/>
  <c r="N119" i="8"/>
  <c r="R119" i="8" s="1"/>
  <c r="T119" i="8" s="1"/>
  <c r="R40" i="8"/>
  <c r="T40" i="8" s="1"/>
  <c r="N44" i="8"/>
  <c r="T89" i="8"/>
  <c r="T83" i="8"/>
  <c r="J29" i="8"/>
  <c r="S27" i="8"/>
  <c r="N29" i="8"/>
  <c r="R27" i="8"/>
  <c r="T87" i="8"/>
  <c r="R104" i="8"/>
  <c r="T104" i="8" s="1"/>
  <c r="N106" i="8"/>
  <c r="R106" i="8" s="1"/>
  <c r="T106" i="8" s="1"/>
  <c r="N53" i="8"/>
  <c r="R50" i="8"/>
  <c r="T50" i="8" s="1"/>
  <c r="D57" i="8"/>
  <c r="H53" i="8"/>
  <c r="J53" i="8" s="1"/>
  <c r="T113" i="8"/>
  <c r="S23" i="8"/>
  <c r="T23" i="8" s="1"/>
  <c r="T110" i="8"/>
  <c r="H49" i="5"/>
  <c r="J49" i="5" s="1"/>
  <c r="D51" i="5"/>
  <c r="H51" i="5" s="1"/>
  <c r="J51" i="5" s="1"/>
  <c r="N46" i="8" l="1"/>
  <c r="R46" i="8" s="1"/>
  <c r="T46" i="8" s="1"/>
  <c r="R44" i="8"/>
  <c r="T44" i="8" s="1"/>
  <c r="N57" i="8"/>
  <c r="R53" i="8"/>
  <c r="T53" i="8" s="1"/>
  <c r="T27" i="8"/>
  <c r="R29" i="8"/>
  <c r="H57" i="8"/>
  <c r="J57" i="8" s="1"/>
  <c r="D59" i="8"/>
  <c r="H59" i="8" s="1"/>
  <c r="J59" i="8" s="1"/>
  <c r="R57" i="8" l="1"/>
  <c r="T57" i="8" s="1"/>
  <c r="N59" i="8"/>
  <c r="R59" i="8" s="1"/>
  <c r="T59" i="8" s="1"/>
  <c r="S29" i="8"/>
  <c r="T29" i="8" s="1"/>
  <c r="S118" i="7" l="1"/>
  <c r="Q118" i="7"/>
  <c r="P118" i="7"/>
  <c r="O118" i="7"/>
  <c r="N118" i="7"/>
  <c r="J118" i="7"/>
  <c r="H118" i="7"/>
  <c r="G117" i="7"/>
  <c r="G119" i="7" s="1"/>
  <c r="S116" i="7"/>
  <c r="Q116" i="7"/>
  <c r="P116" i="7"/>
  <c r="O116" i="7"/>
  <c r="N116" i="7"/>
  <c r="H116" i="7"/>
  <c r="J116" i="7" s="1"/>
  <c r="S115" i="7"/>
  <c r="Q115" i="7"/>
  <c r="P115" i="7"/>
  <c r="O115" i="7"/>
  <c r="N115" i="7"/>
  <c r="R115" i="7" s="1"/>
  <c r="T115" i="7" s="1"/>
  <c r="J115" i="7"/>
  <c r="H115" i="7"/>
  <c r="S114" i="7"/>
  <c r="Q114" i="7"/>
  <c r="P114" i="7"/>
  <c r="O114" i="7"/>
  <c r="N114" i="7"/>
  <c r="R114" i="7" s="1"/>
  <c r="T114" i="7" s="1"/>
  <c r="H114" i="7"/>
  <c r="J114" i="7" s="1"/>
  <c r="H113" i="7"/>
  <c r="J113" i="7" s="1"/>
  <c r="D113" i="7"/>
  <c r="D117" i="7" s="1"/>
  <c r="D119" i="7" s="1"/>
  <c r="S112" i="7"/>
  <c r="Q112" i="7"/>
  <c r="P112" i="7"/>
  <c r="O112" i="7"/>
  <c r="N112" i="7"/>
  <c r="R112" i="7" s="1"/>
  <c r="T112" i="7" s="1"/>
  <c r="G112" i="7"/>
  <c r="H112" i="7" s="1"/>
  <c r="J112" i="7" s="1"/>
  <c r="S111" i="7"/>
  <c r="Q111" i="7"/>
  <c r="P111" i="7"/>
  <c r="O111" i="7"/>
  <c r="N111" i="7"/>
  <c r="J111" i="7"/>
  <c r="H111" i="7"/>
  <c r="P110" i="7"/>
  <c r="P113" i="7" s="1"/>
  <c r="I110" i="7"/>
  <c r="I113" i="7" s="1"/>
  <c r="I117" i="7" s="1"/>
  <c r="I119" i="7" s="1"/>
  <c r="G110" i="7"/>
  <c r="G113" i="7" s="1"/>
  <c r="F110" i="7"/>
  <c r="F113" i="7" s="1"/>
  <c r="F117" i="7" s="1"/>
  <c r="F119" i="7" s="1"/>
  <c r="E110" i="7"/>
  <c r="E113" i="7" s="1"/>
  <c r="E117" i="7" s="1"/>
  <c r="E119" i="7" s="1"/>
  <c r="D110" i="7"/>
  <c r="S109" i="7"/>
  <c r="Q109" i="7"/>
  <c r="P109" i="7"/>
  <c r="O109" i="7"/>
  <c r="N109" i="7"/>
  <c r="R109" i="7" s="1"/>
  <c r="T109" i="7" s="1"/>
  <c r="H109" i="7"/>
  <c r="J109" i="7" s="1"/>
  <c r="S108" i="7"/>
  <c r="S110" i="7" s="1"/>
  <c r="S113" i="7" s="1"/>
  <c r="S117" i="7" s="1"/>
  <c r="S119" i="7" s="1"/>
  <c r="Q108" i="7"/>
  <c r="Q110" i="7" s="1"/>
  <c r="Q113" i="7" s="1"/>
  <c r="Q117" i="7" s="1"/>
  <c r="P108" i="7"/>
  <c r="O108" i="7"/>
  <c r="O110" i="7" s="1"/>
  <c r="O113" i="7" s="1"/>
  <c r="O117" i="7" s="1"/>
  <c r="O119" i="7" s="1"/>
  <c r="N108" i="7"/>
  <c r="J108" i="7"/>
  <c r="H108" i="7"/>
  <c r="S105" i="7"/>
  <c r="Q105" i="7"/>
  <c r="P105" i="7"/>
  <c r="O105" i="7"/>
  <c r="N105" i="7"/>
  <c r="R105" i="7" s="1"/>
  <c r="T105" i="7" s="1"/>
  <c r="H105" i="7"/>
  <c r="J105" i="7" s="1"/>
  <c r="S103" i="7"/>
  <c r="Q103" i="7"/>
  <c r="P103" i="7"/>
  <c r="O103" i="7"/>
  <c r="N103" i="7"/>
  <c r="R103" i="7" s="1"/>
  <c r="T103" i="7" s="1"/>
  <c r="J103" i="7"/>
  <c r="H103" i="7"/>
  <c r="S102" i="7"/>
  <c r="Q102" i="7"/>
  <c r="P102" i="7"/>
  <c r="O102" i="7"/>
  <c r="N102" i="7"/>
  <c r="R102" i="7" s="1"/>
  <c r="T102" i="7" s="1"/>
  <c r="H102" i="7"/>
  <c r="J102" i="7" s="1"/>
  <c r="S101" i="7"/>
  <c r="Q101" i="7"/>
  <c r="P101" i="7"/>
  <c r="O101" i="7"/>
  <c r="N101" i="7"/>
  <c r="J101" i="7"/>
  <c r="H101" i="7"/>
  <c r="S99" i="7"/>
  <c r="Q99" i="7"/>
  <c r="P99" i="7"/>
  <c r="O99" i="7"/>
  <c r="N99" i="7"/>
  <c r="R99" i="7" s="1"/>
  <c r="T99" i="7" s="1"/>
  <c r="H99" i="7"/>
  <c r="J99" i="7" s="1"/>
  <c r="S98" i="7"/>
  <c r="Q98" i="7"/>
  <c r="P98" i="7"/>
  <c r="O98" i="7"/>
  <c r="N98" i="7"/>
  <c r="R98" i="7" s="1"/>
  <c r="T98" i="7" s="1"/>
  <c r="J98" i="7"/>
  <c r="H98" i="7"/>
  <c r="P97" i="7"/>
  <c r="P100" i="7" s="1"/>
  <c r="P104" i="7" s="1"/>
  <c r="P106" i="7" s="1"/>
  <c r="I97" i="7"/>
  <c r="I100" i="7" s="1"/>
  <c r="I104" i="7" s="1"/>
  <c r="I106" i="7" s="1"/>
  <c r="G97" i="7"/>
  <c r="G100" i="7" s="1"/>
  <c r="G104" i="7" s="1"/>
  <c r="G106" i="7" s="1"/>
  <c r="F97" i="7"/>
  <c r="F100" i="7" s="1"/>
  <c r="F104" i="7" s="1"/>
  <c r="F106" i="7" s="1"/>
  <c r="E97" i="7"/>
  <c r="E100" i="7" s="1"/>
  <c r="E104" i="7" s="1"/>
  <c r="E106" i="7" s="1"/>
  <c r="D97" i="7"/>
  <c r="D100" i="7" s="1"/>
  <c r="S96" i="7"/>
  <c r="Q96" i="7"/>
  <c r="P96" i="7"/>
  <c r="O96" i="7"/>
  <c r="N96" i="7"/>
  <c r="N97" i="7" s="1"/>
  <c r="H96" i="7"/>
  <c r="J96" i="7" s="1"/>
  <c r="S95" i="7"/>
  <c r="S97" i="7" s="1"/>
  <c r="Q95" i="7"/>
  <c r="Q97" i="7" s="1"/>
  <c r="Q100" i="7" s="1"/>
  <c r="Q104" i="7" s="1"/>
  <c r="Q106" i="7" s="1"/>
  <c r="P95" i="7"/>
  <c r="O95" i="7"/>
  <c r="O97" i="7" s="1"/>
  <c r="O100" i="7" s="1"/>
  <c r="O104" i="7" s="1"/>
  <c r="O106" i="7" s="1"/>
  <c r="N95" i="7"/>
  <c r="J95" i="7"/>
  <c r="H95" i="7"/>
  <c r="S88" i="7"/>
  <c r="Q88" i="7"/>
  <c r="P88" i="7"/>
  <c r="O88" i="7"/>
  <c r="N88" i="7"/>
  <c r="R88" i="7" s="1"/>
  <c r="T88" i="7" s="1"/>
  <c r="H88" i="7"/>
  <c r="J88" i="7" s="1"/>
  <c r="S86" i="7"/>
  <c r="Q86" i="7"/>
  <c r="P86" i="7"/>
  <c r="O86" i="7"/>
  <c r="N86" i="7"/>
  <c r="J86" i="7"/>
  <c r="H86" i="7"/>
  <c r="S85" i="7"/>
  <c r="Q85" i="7"/>
  <c r="P85" i="7"/>
  <c r="O85" i="7"/>
  <c r="N85" i="7"/>
  <c r="R85" i="7" s="1"/>
  <c r="T85" i="7" s="1"/>
  <c r="H85" i="7"/>
  <c r="J85" i="7" s="1"/>
  <c r="S84" i="7"/>
  <c r="Q84" i="7"/>
  <c r="P84" i="7"/>
  <c r="O84" i="7"/>
  <c r="N84" i="7"/>
  <c r="J84" i="7"/>
  <c r="H84" i="7"/>
  <c r="P83" i="7"/>
  <c r="P87" i="7" s="1"/>
  <c r="P89" i="7" s="1"/>
  <c r="S82" i="7"/>
  <c r="Q82" i="7"/>
  <c r="P82" i="7"/>
  <c r="O82" i="7"/>
  <c r="N82" i="7"/>
  <c r="R82" i="7" s="1"/>
  <c r="T82" i="7" s="1"/>
  <c r="H82" i="7"/>
  <c r="J82" i="7" s="1"/>
  <c r="S81" i="7"/>
  <c r="Q81" i="7"/>
  <c r="P81" i="7"/>
  <c r="O81" i="7"/>
  <c r="N81" i="7"/>
  <c r="J81" i="7"/>
  <c r="H81" i="7"/>
  <c r="P80" i="7"/>
  <c r="I80" i="7"/>
  <c r="I83" i="7" s="1"/>
  <c r="I87" i="7" s="1"/>
  <c r="I89" i="7" s="1"/>
  <c r="G80" i="7"/>
  <c r="G83" i="7" s="1"/>
  <c r="G87" i="7" s="1"/>
  <c r="G89" i="7" s="1"/>
  <c r="F80" i="7"/>
  <c r="F83" i="7" s="1"/>
  <c r="F87" i="7" s="1"/>
  <c r="F89" i="7" s="1"/>
  <c r="E80" i="7"/>
  <c r="E83" i="7" s="1"/>
  <c r="E87" i="7" s="1"/>
  <c r="E89" i="7" s="1"/>
  <c r="D80" i="7"/>
  <c r="D83" i="7" s="1"/>
  <c r="S79" i="7"/>
  <c r="Q79" i="7"/>
  <c r="P79" i="7"/>
  <c r="O79" i="7"/>
  <c r="N79" i="7"/>
  <c r="N80" i="7" s="1"/>
  <c r="H79" i="7"/>
  <c r="J79" i="7" s="1"/>
  <c r="S78" i="7"/>
  <c r="S80" i="7" s="1"/>
  <c r="S83" i="7" s="1"/>
  <c r="S87" i="7" s="1"/>
  <c r="S89" i="7" s="1"/>
  <c r="Q78" i="7"/>
  <c r="Q80" i="7" s="1"/>
  <c r="Q83" i="7" s="1"/>
  <c r="P78" i="7"/>
  <c r="O78" i="7"/>
  <c r="O80" i="7" s="1"/>
  <c r="N78" i="7"/>
  <c r="R78" i="7" s="1"/>
  <c r="T78" i="7" s="1"/>
  <c r="J78" i="7"/>
  <c r="H78" i="7"/>
  <c r="S75" i="7"/>
  <c r="Q75" i="7"/>
  <c r="P75" i="7"/>
  <c r="O75" i="7"/>
  <c r="N75" i="7"/>
  <c r="R75" i="7" s="1"/>
  <c r="T75" i="7" s="1"/>
  <c r="H75" i="7"/>
  <c r="J75" i="7" s="1"/>
  <c r="D74" i="7"/>
  <c r="D76" i="7" s="1"/>
  <c r="S73" i="7"/>
  <c r="Q73" i="7"/>
  <c r="P73" i="7"/>
  <c r="O73" i="7"/>
  <c r="N73" i="7"/>
  <c r="R73" i="7" s="1"/>
  <c r="T73" i="7" s="1"/>
  <c r="J73" i="7"/>
  <c r="H73" i="7"/>
  <c r="S72" i="7"/>
  <c r="Q72" i="7"/>
  <c r="P72" i="7"/>
  <c r="O72" i="7"/>
  <c r="N72" i="7"/>
  <c r="R72" i="7" s="1"/>
  <c r="T72" i="7" s="1"/>
  <c r="H72" i="7"/>
  <c r="J72" i="7" s="1"/>
  <c r="S71" i="7"/>
  <c r="Q71" i="7"/>
  <c r="P71" i="7"/>
  <c r="O71" i="7"/>
  <c r="N71" i="7"/>
  <c r="R71" i="7" s="1"/>
  <c r="T71" i="7" s="1"/>
  <c r="J71" i="7"/>
  <c r="H71" i="7"/>
  <c r="I70" i="7"/>
  <c r="I74" i="7" s="1"/>
  <c r="I76" i="7" s="1"/>
  <c r="T69" i="7"/>
  <c r="S69" i="7"/>
  <c r="Q69" i="7"/>
  <c r="P69" i="7"/>
  <c r="O69" i="7"/>
  <c r="N69" i="7"/>
  <c r="R69" i="7" s="1"/>
  <c r="H69" i="7"/>
  <c r="J69" i="7" s="1"/>
  <c r="S68" i="7"/>
  <c r="Q68" i="7"/>
  <c r="P68" i="7"/>
  <c r="O68" i="7"/>
  <c r="N68" i="7"/>
  <c r="R68" i="7" s="1"/>
  <c r="T68" i="7" s="1"/>
  <c r="J68" i="7"/>
  <c r="H68" i="7"/>
  <c r="I67" i="7"/>
  <c r="G67" i="7"/>
  <c r="G70" i="7" s="1"/>
  <c r="G74" i="7" s="1"/>
  <c r="G76" i="7" s="1"/>
  <c r="F67" i="7"/>
  <c r="F70" i="7" s="1"/>
  <c r="F74" i="7" s="1"/>
  <c r="F76" i="7" s="1"/>
  <c r="E67" i="7"/>
  <c r="E70" i="7" s="1"/>
  <c r="E74" i="7" s="1"/>
  <c r="E76" i="7" s="1"/>
  <c r="D67" i="7"/>
  <c r="D70" i="7" s="1"/>
  <c r="S66" i="7"/>
  <c r="Q66" i="7"/>
  <c r="P66" i="7"/>
  <c r="O66" i="7"/>
  <c r="N66" i="7"/>
  <c r="H66" i="7"/>
  <c r="J66" i="7" s="1"/>
  <c r="S65" i="7"/>
  <c r="S67" i="7" s="1"/>
  <c r="Q65" i="7"/>
  <c r="Q67" i="7" s="1"/>
  <c r="P65" i="7"/>
  <c r="P67" i="7" s="1"/>
  <c r="P70" i="7" s="1"/>
  <c r="P74" i="7" s="1"/>
  <c r="P76" i="7" s="1"/>
  <c r="O65" i="7"/>
  <c r="O67" i="7" s="1"/>
  <c r="O70" i="7" s="1"/>
  <c r="O74" i="7" s="1"/>
  <c r="O76" i="7" s="1"/>
  <c r="N65" i="7"/>
  <c r="N67" i="7" s="1"/>
  <c r="N70" i="7" s="1"/>
  <c r="H65" i="7"/>
  <c r="J65" i="7" s="1"/>
  <c r="S58" i="7"/>
  <c r="Q58" i="7"/>
  <c r="P58" i="7"/>
  <c r="O58" i="7"/>
  <c r="N58" i="7"/>
  <c r="J58" i="7"/>
  <c r="H58" i="7"/>
  <c r="S56" i="7"/>
  <c r="Q56" i="7"/>
  <c r="P56" i="7"/>
  <c r="O56" i="7"/>
  <c r="N56" i="7"/>
  <c r="R56" i="7" s="1"/>
  <c r="T56" i="7" s="1"/>
  <c r="J56" i="7"/>
  <c r="H56" i="7"/>
  <c r="S55" i="7"/>
  <c r="Q55" i="7"/>
  <c r="P55" i="7"/>
  <c r="O55" i="7"/>
  <c r="N55" i="7"/>
  <c r="R55" i="7" s="1"/>
  <c r="T55" i="7" s="1"/>
  <c r="J55" i="7"/>
  <c r="H55" i="7"/>
  <c r="S54" i="7"/>
  <c r="Q54" i="7"/>
  <c r="P54" i="7"/>
  <c r="O54" i="7"/>
  <c r="N54" i="7"/>
  <c r="R54" i="7" s="1"/>
  <c r="T54" i="7" s="1"/>
  <c r="H54" i="7"/>
  <c r="J54" i="7" s="1"/>
  <c r="F53" i="7"/>
  <c r="F57" i="7" s="1"/>
  <c r="F59" i="7" s="1"/>
  <c r="S52" i="7"/>
  <c r="Q52" i="7"/>
  <c r="O52" i="7"/>
  <c r="N52" i="7"/>
  <c r="R52" i="7" s="1"/>
  <c r="T52" i="7" s="1"/>
  <c r="J52" i="7"/>
  <c r="H52" i="7"/>
  <c r="S51" i="7"/>
  <c r="Q51" i="7"/>
  <c r="P51" i="7"/>
  <c r="O51" i="7"/>
  <c r="N51" i="7"/>
  <c r="R51" i="7" s="1"/>
  <c r="T51" i="7" s="1"/>
  <c r="H51" i="7"/>
  <c r="J51" i="7" s="1"/>
  <c r="Q50" i="7"/>
  <c r="Q53" i="7" s="1"/>
  <c r="Q57" i="7" s="1"/>
  <c r="Q59" i="7" s="1"/>
  <c r="I50" i="7"/>
  <c r="I53" i="7" s="1"/>
  <c r="I57" i="7" s="1"/>
  <c r="I59" i="7" s="1"/>
  <c r="G50" i="7"/>
  <c r="G53" i="7" s="1"/>
  <c r="G57" i="7" s="1"/>
  <c r="G59" i="7" s="1"/>
  <c r="F50" i="7"/>
  <c r="E50" i="7"/>
  <c r="E53" i="7" s="1"/>
  <c r="E57" i="7" s="1"/>
  <c r="E59" i="7" s="1"/>
  <c r="D50" i="7"/>
  <c r="D53" i="7" s="1"/>
  <c r="S49" i="7"/>
  <c r="Q49" i="7"/>
  <c r="O49" i="7"/>
  <c r="N49" i="7"/>
  <c r="R49" i="7" s="1"/>
  <c r="T49" i="7" s="1"/>
  <c r="J49" i="7"/>
  <c r="H49" i="7"/>
  <c r="S48" i="7"/>
  <c r="S50" i="7" s="1"/>
  <c r="S53" i="7" s="1"/>
  <c r="S57" i="7" s="1"/>
  <c r="S59" i="7" s="1"/>
  <c r="Q48" i="7"/>
  <c r="P48" i="7"/>
  <c r="O48" i="7"/>
  <c r="O50" i="7" s="1"/>
  <c r="O53" i="7" s="1"/>
  <c r="O57" i="7" s="1"/>
  <c r="N48" i="7"/>
  <c r="N50" i="7" s="1"/>
  <c r="H48" i="7"/>
  <c r="J48" i="7" s="1"/>
  <c r="F46" i="7"/>
  <c r="S45" i="7"/>
  <c r="Q45" i="7"/>
  <c r="P45" i="7"/>
  <c r="O45" i="7"/>
  <c r="N45" i="7"/>
  <c r="J45" i="7"/>
  <c r="H45" i="7"/>
  <c r="S43" i="7"/>
  <c r="R43" i="7"/>
  <c r="T43" i="7" s="1"/>
  <c r="P43" i="7"/>
  <c r="O43" i="7"/>
  <c r="N43" i="7"/>
  <c r="J43" i="7"/>
  <c r="H43" i="7"/>
  <c r="S42" i="7"/>
  <c r="R42" i="7"/>
  <c r="T42" i="7" s="1"/>
  <c r="P42" i="7"/>
  <c r="O42" i="7"/>
  <c r="N42" i="7"/>
  <c r="J42" i="7"/>
  <c r="H42" i="7"/>
  <c r="S41" i="7"/>
  <c r="R41" i="7"/>
  <c r="T41" i="7" s="1"/>
  <c r="P41" i="7"/>
  <c r="O41" i="7"/>
  <c r="N41" i="7"/>
  <c r="J41" i="7"/>
  <c r="H41" i="7"/>
  <c r="T39" i="7"/>
  <c r="S39" i="7"/>
  <c r="Q39" i="7"/>
  <c r="P39" i="7"/>
  <c r="O39" i="7"/>
  <c r="N39" i="7"/>
  <c r="R39" i="7" s="1"/>
  <c r="H39" i="7"/>
  <c r="J39" i="7" s="1"/>
  <c r="S38" i="7"/>
  <c r="Q38" i="7"/>
  <c r="P38" i="7"/>
  <c r="O38" i="7"/>
  <c r="N38" i="7"/>
  <c r="J38" i="7"/>
  <c r="H38" i="7"/>
  <c r="N37" i="7"/>
  <c r="N40" i="7" s="1"/>
  <c r="I37" i="7"/>
  <c r="I40" i="7" s="1"/>
  <c r="I44" i="7" s="1"/>
  <c r="I46" i="7" s="1"/>
  <c r="G37" i="7"/>
  <c r="G40" i="7" s="1"/>
  <c r="G44" i="7" s="1"/>
  <c r="G46" i="7" s="1"/>
  <c r="F37" i="7"/>
  <c r="F40" i="7" s="1"/>
  <c r="F44" i="7" s="1"/>
  <c r="E37" i="7"/>
  <c r="E40" i="7" s="1"/>
  <c r="E44" i="7" s="1"/>
  <c r="E46" i="7" s="1"/>
  <c r="D37" i="7"/>
  <c r="D40" i="7" s="1"/>
  <c r="S36" i="7"/>
  <c r="Q36" i="7"/>
  <c r="P36" i="7"/>
  <c r="O36" i="7"/>
  <c r="N36" i="7"/>
  <c r="H36" i="7"/>
  <c r="J36" i="7" s="1"/>
  <c r="S35" i="7"/>
  <c r="S37" i="7" s="1"/>
  <c r="S40" i="7" s="1"/>
  <c r="S44" i="7" s="1"/>
  <c r="S46" i="7" s="1"/>
  <c r="Q35" i="7"/>
  <c r="Q37" i="7" s="1"/>
  <c r="P35" i="7"/>
  <c r="O35" i="7"/>
  <c r="O37" i="7" s="1"/>
  <c r="O40" i="7" s="1"/>
  <c r="O44" i="7" s="1"/>
  <c r="N35" i="7"/>
  <c r="R35" i="7" s="1"/>
  <c r="T35" i="7" s="1"/>
  <c r="J35" i="7"/>
  <c r="H35" i="7"/>
  <c r="N29" i="7"/>
  <c r="R29" i="7" s="1"/>
  <c r="T29" i="7" s="1"/>
  <c r="T28" i="7"/>
  <c r="R28" i="7"/>
  <c r="H28" i="7"/>
  <c r="J28" i="7" s="1"/>
  <c r="I27" i="7"/>
  <c r="I29" i="7" s="1"/>
  <c r="R26" i="7"/>
  <c r="T26" i="7" s="1"/>
  <c r="J26" i="7"/>
  <c r="H26" i="7"/>
  <c r="R25" i="7"/>
  <c r="T25" i="7" s="1"/>
  <c r="J25" i="7"/>
  <c r="H25" i="7"/>
  <c r="R24" i="7"/>
  <c r="T24" i="7" s="1"/>
  <c r="J24" i="7"/>
  <c r="H24" i="7"/>
  <c r="N23" i="7"/>
  <c r="N27" i="7" s="1"/>
  <c r="G23" i="7"/>
  <c r="G27" i="7" s="1"/>
  <c r="G29" i="7" s="1"/>
  <c r="T22" i="7"/>
  <c r="R22" i="7"/>
  <c r="P22" i="7"/>
  <c r="H22" i="7"/>
  <c r="J22" i="7" s="1"/>
  <c r="F22" i="7"/>
  <c r="P52" i="7" s="1"/>
  <c r="P21" i="7"/>
  <c r="R21" i="7" s="1"/>
  <c r="T21" i="7" s="1"/>
  <c r="F21" i="7"/>
  <c r="H21" i="7" s="1"/>
  <c r="J21" i="7" s="1"/>
  <c r="S20" i="7"/>
  <c r="S23" i="7" s="1"/>
  <c r="S27" i="7" s="1"/>
  <c r="S29" i="7" s="1"/>
  <c r="Q20" i="7"/>
  <c r="Q23" i="7" s="1"/>
  <c r="Q27" i="7" s="1"/>
  <c r="Q29" i="7" s="1"/>
  <c r="P20" i="7"/>
  <c r="P23" i="7" s="1"/>
  <c r="P27" i="7" s="1"/>
  <c r="P29" i="7" s="1"/>
  <c r="O20" i="7"/>
  <c r="O23" i="7" s="1"/>
  <c r="O27" i="7" s="1"/>
  <c r="O29" i="7" s="1"/>
  <c r="N20" i="7"/>
  <c r="I20" i="7"/>
  <c r="I23" i="7" s="1"/>
  <c r="G20" i="7"/>
  <c r="E20" i="7"/>
  <c r="E23" i="7" s="1"/>
  <c r="E27" i="7" s="1"/>
  <c r="E29" i="7" s="1"/>
  <c r="D20" i="7"/>
  <c r="D23" i="7" s="1"/>
  <c r="P19" i="7"/>
  <c r="R19" i="7" s="1"/>
  <c r="T19" i="7" s="1"/>
  <c r="F19" i="7"/>
  <c r="P49" i="7" s="1"/>
  <c r="T18" i="7"/>
  <c r="R18" i="7"/>
  <c r="H18" i="7"/>
  <c r="J18" i="7" s="1"/>
  <c r="T15" i="7"/>
  <c r="R15" i="7"/>
  <c r="H15" i="7"/>
  <c r="J15" i="7" s="1"/>
  <c r="R13" i="7"/>
  <c r="T13" i="7" s="1"/>
  <c r="J13" i="7"/>
  <c r="H13" i="7"/>
  <c r="R12" i="7"/>
  <c r="T12" i="7" s="1"/>
  <c r="J12" i="7"/>
  <c r="H12" i="7"/>
  <c r="R11" i="7"/>
  <c r="T11" i="7" s="1"/>
  <c r="J11" i="7"/>
  <c r="H11" i="7"/>
  <c r="N10" i="7"/>
  <c r="G10" i="7"/>
  <c r="G14" i="7" s="1"/>
  <c r="G16" i="7" s="1"/>
  <c r="T9" i="7"/>
  <c r="R9" i="7"/>
  <c r="H9" i="7"/>
  <c r="J9" i="7" s="1"/>
  <c r="T8" i="7"/>
  <c r="R8" i="7"/>
  <c r="H8" i="7"/>
  <c r="J8" i="7" s="1"/>
  <c r="S7" i="7"/>
  <c r="S10" i="7" s="1"/>
  <c r="S14" i="7" s="1"/>
  <c r="S16" i="7" s="1"/>
  <c r="Q7" i="7"/>
  <c r="Q10" i="7" s="1"/>
  <c r="Q14" i="7" s="1"/>
  <c r="Q16" i="7" s="1"/>
  <c r="P7" i="7"/>
  <c r="P10" i="7" s="1"/>
  <c r="P14" i="7" s="1"/>
  <c r="P16" i="7" s="1"/>
  <c r="O7" i="7"/>
  <c r="O10" i="7" s="1"/>
  <c r="O14" i="7" s="1"/>
  <c r="O16" i="7" s="1"/>
  <c r="N7" i="7"/>
  <c r="R7" i="7" s="1"/>
  <c r="T7" i="7" s="1"/>
  <c r="I7" i="7"/>
  <c r="I10" i="7" s="1"/>
  <c r="I14" i="7" s="1"/>
  <c r="I16" i="7" s="1"/>
  <c r="G7" i="7"/>
  <c r="F7" i="7"/>
  <c r="F10" i="7" s="1"/>
  <c r="F14" i="7" s="1"/>
  <c r="F16" i="7" s="1"/>
  <c r="E7" i="7"/>
  <c r="E10" i="7" s="1"/>
  <c r="E14" i="7" s="1"/>
  <c r="E16" i="7" s="1"/>
  <c r="D7" i="7"/>
  <c r="D10" i="7" s="1"/>
  <c r="R6" i="7"/>
  <c r="T6" i="7" s="1"/>
  <c r="J6" i="7"/>
  <c r="H6" i="7"/>
  <c r="R5" i="7"/>
  <c r="T5" i="7" s="1"/>
  <c r="J5" i="7"/>
  <c r="H5" i="7"/>
  <c r="S67" i="6"/>
  <c r="Q67" i="6"/>
  <c r="P67" i="6"/>
  <c r="O67" i="6"/>
  <c r="N67" i="6"/>
  <c r="H67" i="6"/>
  <c r="J67" i="6" s="1"/>
  <c r="S65" i="6"/>
  <c r="Q65" i="6"/>
  <c r="P65" i="6"/>
  <c r="O65" i="6"/>
  <c r="N65" i="6"/>
  <c r="H65" i="6"/>
  <c r="J65" i="6" s="1"/>
  <c r="S64" i="6"/>
  <c r="Q64" i="6"/>
  <c r="P64" i="6"/>
  <c r="O64" i="6"/>
  <c r="N64" i="6"/>
  <c r="H64" i="6"/>
  <c r="J64" i="6" s="1"/>
  <c r="S63" i="6"/>
  <c r="Q63" i="6"/>
  <c r="P63" i="6"/>
  <c r="O63" i="6"/>
  <c r="N63" i="6"/>
  <c r="H63" i="6"/>
  <c r="J63" i="6" s="1"/>
  <c r="S61" i="6"/>
  <c r="P61" i="6"/>
  <c r="O61" i="6"/>
  <c r="N61" i="6"/>
  <c r="G61" i="6"/>
  <c r="Q61" i="6" s="1"/>
  <c r="S60" i="6"/>
  <c r="Q60" i="6"/>
  <c r="P60" i="6"/>
  <c r="O60" i="6"/>
  <c r="N60" i="6"/>
  <c r="H60" i="6"/>
  <c r="J60" i="6" s="1"/>
  <c r="I59" i="6"/>
  <c r="I62" i="6" s="1"/>
  <c r="I66" i="6" s="1"/>
  <c r="I68" i="6" s="1"/>
  <c r="G59" i="6"/>
  <c r="G62" i="6" s="1"/>
  <c r="G66" i="6" s="1"/>
  <c r="G68" i="6" s="1"/>
  <c r="F59" i="6"/>
  <c r="F62" i="6" s="1"/>
  <c r="F66" i="6" s="1"/>
  <c r="F68" i="6" s="1"/>
  <c r="E59" i="6"/>
  <c r="E62" i="6" s="1"/>
  <c r="E66" i="6" s="1"/>
  <c r="E68" i="6" s="1"/>
  <c r="D59" i="6"/>
  <c r="D62" i="6" s="1"/>
  <c r="S58" i="6"/>
  <c r="Q58" i="6"/>
  <c r="P58" i="6"/>
  <c r="O58" i="6"/>
  <c r="N58" i="6"/>
  <c r="H58" i="6"/>
  <c r="J58" i="6" s="1"/>
  <c r="S57" i="6"/>
  <c r="Q57" i="6"/>
  <c r="P57" i="6"/>
  <c r="O57" i="6"/>
  <c r="O59" i="6" s="1"/>
  <c r="O62" i="6" s="1"/>
  <c r="O66" i="6" s="1"/>
  <c r="O68" i="6" s="1"/>
  <c r="N57" i="6"/>
  <c r="H57" i="6"/>
  <c r="J57" i="6" s="1"/>
  <c r="S50" i="6"/>
  <c r="Q50" i="6"/>
  <c r="P50" i="6"/>
  <c r="O50" i="6"/>
  <c r="N50" i="6"/>
  <c r="H50" i="6"/>
  <c r="J50" i="6" s="1"/>
  <c r="S48" i="6"/>
  <c r="Q48" i="6"/>
  <c r="P48" i="6"/>
  <c r="O48" i="6"/>
  <c r="N48" i="6"/>
  <c r="H48" i="6"/>
  <c r="J48" i="6" s="1"/>
  <c r="S47" i="6"/>
  <c r="Q47" i="6"/>
  <c r="P47" i="6"/>
  <c r="O47" i="6"/>
  <c r="N47" i="6"/>
  <c r="H47" i="6"/>
  <c r="J47" i="6" s="1"/>
  <c r="S46" i="6"/>
  <c r="Q46" i="6"/>
  <c r="P46" i="6"/>
  <c r="O46" i="6"/>
  <c r="N46" i="6"/>
  <c r="H46" i="6"/>
  <c r="J46" i="6" s="1"/>
  <c r="S44" i="6"/>
  <c r="Q44" i="6"/>
  <c r="P44" i="6"/>
  <c r="O44" i="6"/>
  <c r="N44" i="6"/>
  <c r="H44" i="6"/>
  <c r="J44" i="6" s="1"/>
  <c r="S43" i="6"/>
  <c r="Q43" i="6"/>
  <c r="P43" i="6"/>
  <c r="O43" i="6"/>
  <c r="N43" i="6"/>
  <c r="H43" i="6"/>
  <c r="J43" i="6" s="1"/>
  <c r="I42" i="6"/>
  <c r="I45" i="6" s="1"/>
  <c r="I49" i="6" s="1"/>
  <c r="I51" i="6" s="1"/>
  <c r="G42" i="6"/>
  <c r="G45" i="6" s="1"/>
  <c r="G49" i="6" s="1"/>
  <c r="G51" i="6" s="1"/>
  <c r="F42" i="6"/>
  <c r="F45" i="6" s="1"/>
  <c r="F49" i="6" s="1"/>
  <c r="F51" i="6" s="1"/>
  <c r="E42" i="6"/>
  <c r="E45" i="6" s="1"/>
  <c r="E49" i="6" s="1"/>
  <c r="E51" i="6" s="1"/>
  <c r="D42" i="6"/>
  <c r="D45" i="6" s="1"/>
  <c r="S41" i="6"/>
  <c r="Q41" i="6"/>
  <c r="P41" i="6"/>
  <c r="O41" i="6"/>
  <c r="N41" i="6"/>
  <c r="H41" i="6"/>
  <c r="J41" i="6" s="1"/>
  <c r="S40" i="6"/>
  <c r="Q40" i="6"/>
  <c r="P40" i="6"/>
  <c r="P42" i="6" s="1"/>
  <c r="O40" i="6"/>
  <c r="N40" i="6"/>
  <c r="H40" i="6"/>
  <c r="J40" i="6" s="1"/>
  <c r="S33" i="6"/>
  <c r="Q33" i="6"/>
  <c r="P33" i="6"/>
  <c r="O33" i="6"/>
  <c r="N33" i="6"/>
  <c r="H33" i="6"/>
  <c r="J33" i="6" s="1"/>
  <c r="S31" i="6"/>
  <c r="Q31" i="6"/>
  <c r="P31" i="6"/>
  <c r="O31" i="6"/>
  <c r="N31" i="6"/>
  <c r="H31" i="6"/>
  <c r="J31" i="6" s="1"/>
  <c r="S30" i="6"/>
  <c r="Q30" i="6"/>
  <c r="P30" i="6"/>
  <c r="O30" i="6"/>
  <c r="N30" i="6"/>
  <c r="H30" i="6"/>
  <c r="J30" i="6" s="1"/>
  <c r="S29" i="6"/>
  <c r="Q29" i="6"/>
  <c r="P29" i="6"/>
  <c r="O29" i="6"/>
  <c r="N29" i="6"/>
  <c r="H29" i="6"/>
  <c r="J29" i="6" s="1"/>
  <c r="S27" i="6"/>
  <c r="Q27" i="6"/>
  <c r="O27" i="6"/>
  <c r="N27" i="6"/>
  <c r="H27" i="6"/>
  <c r="J27" i="6" s="1"/>
  <c r="S26" i="6"/>
  <c r="Q26" i="6"/>
  <c r="O26" i="6"/>
  <c r="N26" i="6"/>
  <c r="H26" i="6"/>
  <c r="J26" i="6" s="1"/>
  <c r="I25" i="6"/>
  <c r="I28" i="6" s="1"/>
  <c r="I32" i="6" s="1"/>
  <c r="I34" i="6" s="1"/>
  <c r="G25" i="6"/>
  <c r="G28" i="6" s="1"/>
  <c r="G32" i="6" s="1"/>
  <c r="G34" i="6" s="1"/>
  <c r="F25" i="6"/>
  <c r="F28" i="6" s="1"/>
  <c r="F32" i="6" s="1"/>
  <c r="F34" i="6" s="1"/>
  <c r="E25" i="6"/>
  <c r="E28" i="6" s="1"/>
  <c r="E32" i="6" s="1"/>
  <c r="E34" i="6" s="1"/>
  <c r="D25" i="6"/>
  <c r="D28" i="6" s="1"/>
  <c r="S24" i="6"/>
  <c r="Q24" i="6"/>
  <c r="O24" i="6"/>
  <c r="N24" i="6"/>
  <c r="H24" i="6"/>
  <c r="J24" i="6" s="1"/>
  <c r="S23" i="6"/>
  <c r="Q23" i="6"/>
  <c r="P23" i="6"/>
  <c r="O23" i="6"/>
  <c r="N23" i="6"/>
  <c r="H23" i="6"/>
  <c r="J23" i="6" s="1"/>
  <c r="R16" i="6"/>
  <c r="T16" i="6" s="1"/>
  <c r="H16" i="6"/>
  <c r="J16" i="6" s="1"/>
  <c r="R14" i="6"/>
  <c r="T14" i="6" s="1"/>
  <c r="H14" i="6"/>
  <c r="J14" i="6" s="1"/>
  <c r="R13" i="6"/>
  <c r="T13" i="6" s="1"/>
  <c r="H13" i="6"/>
  <c r="J13" i="6" s="1"/>
  <c r="R12" i="6"/>
  <c r="T12" i="6" s="1"/>
  <c r="H12" i="6"/>
  <c r="J12" i="6" s="1"/>
  <c r="P10" i="6"/>
  <c r="R10" i="6" s="1"/>
  <c r="T10" i="6" s="1"/>
  <c r="F10" i="6"/>
  <c r="P9" i="6"/>
  <c r="R9" i="6" s="1"/>
  <c r="T9" i="6" s="1"/>
  <c r="F9" i="6"/>
  <c r="P26" i="6" s="1"/>
  <c r="S8" i="6"/>
  <c r="S11" i="6" s="1"/>
  <c r="S15" i="6" s="1"/>
  <c r="S17" i="6" s="1"/>
  <c r="Q8" i="6"/>
  <c r="Q11" i="6" s="1"/>
  <c r="Q15" i="6" s="1"/>
  <c r="Q17" i="6" s="1"/>
  <c r="O8" i="6"/>
  <c r="O11" i="6" s="1"/>
  <c r="O15" i="6" s="1"/>
  <c r="O17" i="6" s="1"/>
  <c r="N8" i="6"/>
  <c r="N11" i="6" s="1"/>
  <c r="I8" i="6"/>
  <c r="I11" i="6" s="1"/>
  <c r="I15" i="6" s="1"/>
  <c r="I17" i="6" s="1"/>
  <c r="G8" i="6"/>
  <c r="G11" i="6" s="1"/>
  <c r="G15" i="6" s="1"/>
  <c r="G17" i="6" s="1"/>
  <c r="E8" i="6"/>
  <c r="E11" i="6" s="1"/>
  <c r="E15" i="6" s="1"/>
  <c r="E17" i="6" s="1"/>
  <c r="D8" i="6"/>
  <c r="D11" i="6" s="1"/>
  <c r="D15" i="6" s="1"/>
  <c r="D17" i="6" s="1"/>
  <c r="P7" i="6"/>
  <c r="P8" i="6" s="1"/>
  <c r="F7" i="6"/>
  <c r="P24" i="6" s="1"/>
  <c r="R6" i="6"/>
  <c r="T6" i="6" s="1"/>
  <c r="H6" i="6"/>
  <c r="J6" i="6" s="1"/>
  <c r="P25" i="6" l="1"/>
  <c r="Q25" i="6"/>
  <c r="R47" i="6"/>
  <c r="T47" i="6" s="1"/>
  <c r="R24" i="6"/>
  <c r="T24" i="6" s="1"/>
  <c r="R7" i="6"/>
  <c r="T7" i="6" s="1"/>
  <c r="O25" i="6"/>
  <c r="O28" i="6" s="1"/>
  <c r="O32" i="6" s="1"/>
  <c r="O34" i="6" s="1"/>
  <c r="O42" i="6"/>
  <c r="O45" i="6" s="1"/>
  <c r="O49" i="6" s="1"/>
  <c r="O51" i="6" s="1"/>
  <c r="Q28" i="6"/>
  <c r="Q32" i="6" s="1"/>
  <c r="Q34" i="6" s="1"/>
  <c r="S42" i="6"/>
  <c r="S45" i="6" s="1"/>
  <c r="S49" i="6" s="1"/>
  <c r="S51" i="6" s="1"/>
  <c r="S59" i="6"/>
  <c r="S62" i="6" s="1"/>
  <c r="S66" i="6" s="1"/>
  <c r="S68" i="6" s="1"/>
  <c r="R61" i="6"/>
  <c r="T61" i="6" s="1"/>
  <c r="H7" i="6"/>
  <c r="J7" i="6" s="1"/>
  <c r="Q59" i="6"/>
  <c r="Q62" i="6" s="1"/>
  <c r="Q66" i="6" s="1"/>
  <c r="Q68" i="6" s="1"/>
  <c r="H61" i="6"/>
  <c r="J61" i="6" s="1"/>
  <c r="R30" i="6"/>
  <c r="T30" i="6" s="1"/>
  <c r="P45" i="6"/>
  <c r="P49" i="6" s="1"/>
  <c r="P51" i="6" s="1"/>
  <c r="P59" i="6"/>
  <c r="P62" i="6" s="1"/>
  <c r="P66" i="6" s="1"/>
  <c r="P68" i="6" s="1"/>
  <c r="N42" i="6"/>
  <c r="N45" i="6" s="1"/>
  <c r="R44" i="6"/>
  <c r="T44" i="6" s="1"/>
  <c r="R46" i="6"/>
  <c r="T46" i="6" s="1"/>
  <c r="N59" i="6"/>
  <c r="N62" i="6" s="1"/>
  <c r="R63" i="6"/>
  <c r="T63" i="6" s="1"/>
  <c r="R65" i="6"/>
  <c r="T65" i="6" s="1"/>
  <c r="P11" i="6"/>
  <c r="P15" i="6" s="1"/>
  <c r="P17" i="6" s="1"/>
  <c r="H9" i="6"/>
  <c r="J9" i="6" s="1"/>
  <c r="S25" i="6"/>
  <c r="S28" i="6" s="1"/>
  <c r="S32" i="6" s="1"/>
  <c r="S34" i="6" s="1"/>
  <c r="R43" i="6"/>
  <c r="T43" i="6" s="1"/>
  <c r="R50" i="6"/>
  <c r="T50" i="6" s="1"/>
  <c r="H10" i="7"/>
  <c r="J10" i="7" s="1"/>
  <c r="D14" i="7"/>
  <c r="R10" i="7"/>
  <c r="T10" i="7" s="1"/>
  <c r="N44" i="7"/>
  <c r="N14" i="7"/>
  <c r="R23" i="7"/>
  <c r="T23" i="7" s="1"/>
  <c r="P37" i="7"/>
  <c r="P40" i="7" s="1"/>
  <c r="P44" i="7" s="1"/>
  <c r="P46" i="7" s="1"/>
  <c r="R36" i="7"/>
  <c r="T36" i="7" s="1"/>
  <c r="R37" i="7"/>
  <c r="T37" i="7" s="1"/>
  <c r="P50" i="7"/>
  <c r="P53" i="7" s="1"/>
  <c r="P57" i="7" s="1"/>
  <c r="P59" i="7" s="1"/>
  <c r="R67" i="7"/>
  <c r="T67" i="7" s="1"/>
  <c r="H83" i="7"/>
  <c r="J83" i="7" s="1"/>
  <c r="D87" i="7"/>
  <c r="H40" i="7"/>
  <c r="J40" i="7" s="1"/>
  <c r="D44" i="7"/>
  <c r="N74" i="7"/>
  <c r="R70" i="7"/>
  <c r="T70" i="7" s="1"/>
  <c r="H7" i="7"/>
  <c r="J7" i="7" s="1"/>
  <c r="D27" i="7"/>
  <c r="R20" i="7"/>
  <c r="T20" i="7" s="1"/>
  <c r="Q40" i="7"/>
  <c r="Q44" i="7" s="1"/>
  <c r="Q46" i="7" s="1"/>
  <c r="R45" i="7"/>
  <c r="T45" i="7" s="1"/>
  <c r="R58" i="7"/>
  <c r="T58" i="7" s="1"/>
  <c r="R66" i="7"/>
  <c r="T66" i="7" s="1"/>
  <c r="H119" i="7"/>
  <c r="J119" i="7" s="1"/>
  <c r="N53" i="7"/>
  <c r="R50" i="7"/>
  <c r="T50" i="7" s="1"/>
  <c r="D57" i="7"/>
  <c r="H53" i="7"/>
  <c r="J53" i="7" s="1"/>
  <c r="H74" i="7"/>
  <c r="J74" i="7" s="1"/>
  <c r="R27" i="7"/>
  <c r="T27" i="7" s="1"/>
  <c r="O46" i="7"/>
  <c r="R38" i="7"/>
  <c r="T38" i="7" s="1"/>
  <c r="O59" i="7"/>
  <c r="H19" i="7"/>
  <c r="J19" i="7" s="1"/>
  <c r="R48" i="7"/>
  <c r="T48" i="7" s="1"/>
  <c r="H50" i="7"/>
  <c r="J50" i="7" s="1"/>
  <c r="R65" i="7"/>
  <c r="T65" i="7" s="1"/>
  <c r="N83" i="7"/>
  <c r="R80" i="7"/>
  <c r="T80" i="7" s="1"/>
  <c r="R79" i="7"/>
  <c r="T79" i="7" s="1"/>
  <c r="R101" i="7"/>
  <c r="T101" i="7" s="1"/>
  <c r="R108" i="7"/>
  <c r="T108" i="7" s="1"/>
  <c r="H110" i="7"/>
  <c r="J110" i="7" s="1"/>
  <c r="R116" i="7"/>
  <c r="T116" i="7" s="1"/>
  <c r="S70" i="7"/>
  <c r="S74" i="7" s="1"/>
  <c r="S76" i="7" s="1"/>
  <c r="H76" i="7"/>
  <c r="J76" i="7" s="1"/>
  <c r="Q87" i="7"/>
  <c r="Q89" i="7" s="1"/>
  <c r="R84" i="7"/>
  <c r="T84" i="7" s="1"/>
  <c r="R95" i="7"/>
  <c r="T95" i="7" s="1"/>
  <c r="S100" i="7"/>
  <c r="S104" i="7" s="1"/>
  <c r="S106" i="7" s="1"/>
  <c r="H100" i="7"/>
  <c r="J100" i="7" s="1"/>
  <c r="P117" i="7"/>
  <c r="P119" i="7" s="1"/>
  <c r="R111" i="7"/>
  <c r="T111" i="7" s="1"/>
  <c r="H117" i="7"/>
  <c r="J117" i="7" s="1"/>
  <c r="F20" i="7"/>
  <c r="F23" i="7" s="1"/>
  <c r="F27" i="7" s="1"/>
  <c r="F29" i="7" s="1"/>
  <c r="H37" i="7"/>
  <c r="J37" i="7" s="1"/>
  <c r="Q70" i="7"/>
  <c r="Q74" i="7" s="1"/>
  <c r="Q76" i="7" s="1"/>
  <c r="H70" i="7"/>
  <c r="J70" i="7" s="1"/>
  <c r="O83" i="7"/>
  <c r="O87" i="7" s="1"/>
  <c r="O89" i="7" s="1"/>
  <c r="R81" i="7"/>
  <c r="T81" i="7" s="1"/>
  <c r="R86" i="7"/>
  <c r="T86" i="7" s="1"/>
  <c r="N100" i="7"/>
  <c r="R97" i="7"/>
  <c r="T97" i="7" s="1"/>
  <c r="R96" i="7"/>
  <c r="T96" i="7" s="1"/>
  <c r="D104" i="7"/>
  <c r="Q119" i="7"/>
  <c r="R118" i="7"/>
  <c r="T118" i="7" s="1"/>
  <c r="N110" i="7"/>
  <c r="H67" i="7"/>
  <c r="J67" i="7" s="1"/>
  <c r="H80" i="7"/>
  <c r="J80" i="7" s="1"/>
  <c r="H97" i="7"/>
  <c r="J97" i="7" s="1"/>
  <c r="R8" i="6"/>
  <c r="T8" i="6" s="1"/>
  <c r="H10" i="6"/>
  <c r="J10" i="6" s="1"/>
  <c r="P27" i="6"/>
  <c r="P28" i="6" s="1"/>
  <c r="P32" i="6" s="1"/>
  <c r="P34" i="6" s="1"/>
  <c r="N15" i="6"/>
  <c r="R60" i="6"/>
  <c r="T60" i="6" s="1"/>
  <c r="R31" i="6"/>
  <c r="T31" i="6" s="1"/>
  <c r="Q42" i="6"/>
  <c r="Q45" i="6" s="1"/>
  <c r="Q49" i="6" s="1"/>
  <c r="Q51" i="6" s="1"/>
  <c r="R23" i="6"/>
  <c r="T23" i="6" s="1"/>
  <c r="H28" i="6"/>
  <c r="J28" i="6" s="1"/>
  <c r="R26" i="6"/>
  <c r="T26" i="6" s="1"/>
  <c r="R29" i="6"/>
  <c r="T29" i="6" s="1"/>
  <c r="D32" i="6"/>
  <c r="D49" i="6"/>
  <c r="H45" i="6"/>
  <c r="J45" i="6" s="1"/>
  <c r="F8" i="6"/>
  <c r="F11" i="6" s="1"/>
  <c r="F15" i="6" s="1"/>
  <c r="F17" i="6" s="1"/>
  <c r="H17" i="6" s="1"/>
  <c r="J17" i="6" s="1"/>
  <c r="N25" i="6"/>
  <c r="H42" i="6"/>
  <c r="J42" i="6" s="1"/>
  <c r="D66" i="6"/>
  <c r="H62" i="6"/>
  <c r="J62" i="6" s="1"/>
  <c r="H59" i="6"/>
  <c r="J59" i="6" s="1"/>
  <c r="H25" i="6"/>
  <c r="J25" i="6" s="1"/>
  <c r="R33" i="6"/>
  <c r="T33" i="6" s="1"/>
  <c r="R40" i="6"/>
  <c r="T40" i="6" s="1"/>
  <c r="R41" i="6"/>
  <c r="T41" i="6" s="1"/>
  <c r="R48" i="6"/>
  <c r="T48" i="6" s="1"/>
  <c r="R57" i="6"/>
  <c r="T57" i="6" s="1"/>
  <c r="R58" i="6"/>
  <c r="T58" i="6" s="1"/>
  <c r="R64" i="6"/>
  <c r="T64" i="6" s="1"/>
  <c r="R67" i="6"/>
  <c r="T67" i="6" s="1"/>
  <c r="S67" i="5"/>
  <c r="Q67" i="5"/>
  <c r="P67" i="5"/>
  <c r="O67" i="5"/>
  <c r="N67" i="5"/>
  <c r="S65" i="5"/>
  <c r="Q65" i="5"/>
  <c r="P65" i="5"/>
  <c r="O65" i="5"/>
  <c r="N65" i="5"/>
  <c r="S64" i="5"/>
  <c r="Q64" i="5"/>
  <c r="P64" i="5"/>
  <c r="O64" i="5"/>
  <c r="N64" i="5"/>
  <c r="S63" i="5"/>
  <c r="Q63" i="5"/>
  <c r="P63" i="5"/>
  <c r="O63" i="5"/>
  <c r="N63" i="5"/>
  <c r="S61" i="5"/>
  <c r="Q61" i="5"/>
  <c r="P61" i="5"/>
  <c r="O61" i="5"/>
  <c r="N61" i="5"/>
  <c r="S60" i="5"/>
  <c r="Q60" i="5"/>
  <c r="P60" i="5"/>
  <c r="O60" i="5"/>
  <c r="N60" i="5"/>
  <c r="S58" i="5"/>
  <c r="Q58" i="5"/>
  <c r="P58" i="5"/>
  <c r="O58" i="5"/>
  <c r="N58" i="5"/>
  <c r="S57" i="5"/>
  <c r="Q57" i="5"/>
  <c r="P57" i="5"/>
  <c r="O57" i="5"/>
  <c r="N57" i="5"/>
  <c r="Q50" i="5"/>
  <c r="P50" i="5"/>
  <c r="O50" i="5"/>
  <c r="N50" i="5"/>
  <c r="Q48" i="5"/>
  <c r="P48" i="5"/>
  <c r="O48" i="5"/>
  <c r="N48" i="5"/>
  <c r="Q47" i="5"/>
  <c r="P47" i="5"/>
  <c r="O47" i="5"/>
  <c r="N47" i="5"/>
  <c r="Q46" i="5"/>
  <c r="P46" i="5"/>
  <c r="O46" i="5"/>
  <c r="N46" i="5"/>
  <c r="Q44" i="5"/>
  <c r="P44" i="5"/>
  <c r="O44" i="5"/>
  <c r="N44" i="5"/>
  <c r="Q43" i="5"/>
  <c r="P43" i="5"/>
  <c r="O43" i="5"/>
  <c r="N43" i="5"/>
  <c r="Q41" i="5"/>
  <c r="P41" i="5"/>
  <c r="O41" i="5"/>
  <c r="N41" i="5"/>
  <c r="Q40" i="5"/>
  <c r="P40" i="5"/>
  <c r="O40" i="5"/>
  <c r="N40" i="5"/>
  <c r="S33" i="5"/>
  <c r="Q33" i="5"/>
  <c r="P33" i="5"/>
  <c r="O33" i="5"/>
  <c r="N33" i="5"/>
  <c r="H33" i="5"/>
  <c r="J33" i="5" s="1"/>
  <c r="S31" i="5"/>
  <c r="P31" i="5"/>
  <c r="O31" i="5"/>
  <c r="N31" i="5"/>
  <c r="H31" i="5"/>
  <c r="S30" i="5"/>
  <c r="P30" i="5"/>
  <c r="O30" i="5"/>
  <c r="N30" i="5"/>
  <c r="H30" i="5"/>
  <c r="S29" i="5"/>
  <c r="P29" i="5"/>
  <c r="O29" i="5"/>
  <c r="N29" i="5"/>
  <c r="H29" i="5"/>
  <c r="S27" i="5"/>
  <c r="Q27" i="5"/>
  <c r="P27" i="5"/>
  <c r="O27" i="5"/>
  <c r="N27" i="5"/>
  <c r="H27" i="5"/>
  <c r="J27" i="5" s="1"/>
  <c r="S26" i="5"/>
  <c r="Q26" i="5"/>
  <c r="P26" i="5"/>
  <c r="O26" i="5"/>
  <c r="N26" i="5"/>
  <c r="H26" i="5"/>
  <c r="I25" i="5"/>
  <c r="I28" i="5" s="1"/>
  <c r="G25" i="5"/>
  <c r="F25" i="5"/>
  <c r="E25" i="5"/>
  <c r="D25" i="5"/>
  <c r="S24" i="5"/>
  <c r="Q24" i="5"/>
  <c r="P24" i="5"/>
  <c r="O24" i="5"/>
  <c r="N24" i="5"/>
  <c r="H24" i="5"/>
  <c r="J24" i="5" s="1"/>
  <c r="S23" i="5"/>
  <c r="Q23" i="5"/>
  <c r="P23" i="5"/>
  <c r="O23" i="5"/>
  <c r="N23" i="5"/>
  <c r="H23" i="5"/>
  <c r="J23" i="5" s="1"/>
  <c r="R16" i="5"/>
  <c r="T16" i="5" s="1"/>
  <c r="H16" i="5"/>
  <c r="J16" i="5" s="1"/>
  <c r="R14" i="5"/>
  <c r="T14" i="5" s="1"/>
  <c r="H14" i="5"/>
  <c r="J14" i="5" s="1"/>
  <c r="R13" i="5"/>
  <c r="T13" i="5" s="1"/>
  <c r="H13" i="5"/>
  <c r="J13" i="5" s="1"/>
  <c r="R12" i="5"/>
  <c r="T12" i="5" s="1"/>
  <c r="H12" i="5"/>
  <c r="J12" i="5" s="1"/>
  <c r="R10" i="5"/>
  <c r="T10" i="5" s="1"/>
  <c r="H10" i="5"/>
  <c r="J10" i="5" s="1"/>
  <c r="R9" i="5"/>
  <c r="T9" i="5" s="1"/>
  <c r="H9" i="5"/>
  <c r="J9" i="5" s="1"/>
  <c r="S8" i="5"/>
  <c r="S11" i="5" s="1"/>
  <c r="S15" i="5" s="1"/>
  <c r="S17" i="5" s="1"/>
  <c r="Q8" i="5"/>
  <c r="Q11" i="5" s="1"/>
  <c r="Q15" i="5" s="1"/>
  <c r="Q17" i="5" s="1"/>
  <c r="P8" i="5"/>
  <c r="P11" i="5" s="1"/>
  <c r="P15" i="5" s="1"/>
  <c r="P17" i="5" s="1"/>
  <c r="O8" i="5"/>
  <c r="O11" i="5" s="1"/>
  <c r="O15" i="5" s="1"/>
  <c r="O17" i="5" s="1"/>
  <c r="N8" i="5"/>
  <c r="I8" i="5"/>
  <c r="I11" i="5" s="1"/>
  <c r="I15" i="5" s="1"/>
  <c r="I17" i="5" s="1"/>
  <c r="G8" i="5"/>
  <c r="G11" i="5" s="1"/>
  <c r="G15" i="5" s="1"/>
  <c r="G17" i="5" s="1"/>
  <c r="F8" i="5"/>
  <c r="F11" i="5" s="1"/>
  <c r="F15" i="5" s="1"/>
  <c r="F17" i="5" s="1"/>
  <c r="E8" i="5"/>
  <c r="E11" i="5" s="1"/>
  <c r="E15" i="5" s="1"/>
  <c r="E17" i="5" s="1"/>
  <c r="D8" i="5"/>
  <c r="D11" i="5" s="1"/>
  <c r="D15" i="5" s="1"/>
  <c r="R7" i="5"/>
  <c r="T7" i="5" s="1"/>
  <c r="H7" i="5"/>
  <c r="J7" i="5" s="1"/>
  <c r="R6" i="5"/>
  <c r="T6" i="5" s="1"/>
  <c r="H6" i="5"/>
  <c r="J6" i="5" s="1"/>
  <c r="S67" i="4"/>
  <c r="Q67" i="4"/>
  <c r="P67" i="4"/>
  <c r="O67" i="4"/>
  <c r="N67" i="4"/>
  <c r="H67" i="4"/>
  <c r="S65" i="4"/>
  <c r="Q65" i="4"/>
  <c r="P65" i="4"/>
  <c r="O65" i="4"/>
  <c r="N65" i="4"/>
  <c r="H65" i="4"/>
  <c r="J65" i="4" s="1"/>
  <c r="S64" i="4"/>
  <c r="Q64" i="4"/>
  <c r="P64" i="4"/>
  <c r="O64" i="4"/>
  <c r="N64" i="4"/>
  <c r="H64" i="4"/>
  <c r="J64" i="4" s="1"/>
  <c r="S63" i="4"/>
  <c r="Q63" i="4"/>
  <c r="P63" i="4"/>
  <c r="O63" i="4"/>
  <c r="N63" i="4"/>
  <c r="H63" i="4"/>
  <c r="J63" i="4" s="1"/>
  <c r="S61" i="4"/>
  <c r="Q61" i="4"/>
  <c r="P61" i="4"/>
  <c r="O61" i="4"/>
  <c r="N61" i="4"/>
  <c r="H61" i="4"/>
  <c r="J61" i="4" s="1"/>
  <c r="S60" i="4"/>
  <c r="Q60" i="4"/>
  <c r="P60" i="4"/>
  <c r="O60" i="4"/>
  <c r="N60" i="4"/>
  <c r="H60" i="4"/>
  <c r="J60" i="4" s="1"/>
  <c r="I59" i="4"/>
  <c r="I62" i="4" s="1"/>
  <c r="G59" i="4"/>
  <c r="G62" i="4" s="1"/>
  <c r="F59" i="4"/>
  <c r="F62" i="4" s="1"/>
  <c r="E59" i="4"/>
  <c r="D59" i="4"/>
  <c r="D62" i="4" s="1"/>
  <c r="S58" i="4"/>
  <c r="Q58" i="4"/>
  <c r="P58" i="4"/>
  <c r="O58" i="4"/>
  <c r="N58" i="4"/>
  <c r="H58" i="4"/>
  <c r="S57" i="4"/>
  <c r="Q57" i="4"/>
  <c r="P57" i="4"/>
  <c r="O57" i="4"/>
  <c r="N57" i="4"/>
  <c r="H57" i="4"/>
  <c r="J57" i="4" s="1"/>
  <c r="S50" i="4"/>
  <c r="Q50" i="4"/>
  <c r="P50" i="4"/>
  <c r="O50" i="4"/>
  <c r="N50" i="4"/>
  <c r="H50" i="4"/>
  <c r="J50" i="4" s="1"/>
  <c r="S48" i="4"/>
  <c r="Q48" i="4"/>
  <c r="P48" i="4"/>
  <c r="O48" i="4"/>
  <c r="N48" i="4"/>
  <c r="H48" i="4"/>
  <c r="J48" i="4" s="1"/>
  <c r="S47" i="4"/>
  <c r="Q47" i="4"/>
  <c r="P47" i="4"/>
  <c r="O47" i="4"/>
  <c r="N47" i="4"/>
  <c r="H47" i="4"/>
  <c r="J47" i="4" s="1"/>
  <c r="S46" i="4"/>
  <c r="Q46" i="4"/>
  <c r="P46" i="4"/>
  <c r="O46" i="4"/>
  <c r="N46" i="4"/>
  <c r="H46" i="4"/>
  <c r="J46" i="4" s="1"/>
  <c r="S44" i="4"/>
  <c r="Q44" i="4"/>
  <c r="P44" i="4"/>
  <c r="O44" i="4"/>
  <c r="N44" i="4"/>
  <c r="H44" i="4"/>
  <c r="J44" i="4" s="1"/>
  <c r="S43" i="4"/>
  <c r="Q43" i="4"/>
  <c r="P43" i="4"/>
  <c r="O43" i="4"/>
  <c r="N43" i="4"/>
  <c r="H43" i="4"/>
  <c r="J43" i="4" s="1"/>
  <c r="I42" i="4"/>
  <c r="I45" i="4" s="1"/>
  <c r="I49" i="4" s="1"/>
  <c r="I51" i="4" s="1"/>
  <c r="G42" i="4"/>
  <c r="G45" i="4" s="1"/>
  <c r="G49" i="4" s="1"/>
  <c r="G51" i="4" s="1"/>
  <c r="F42" i="4"/>
  <c r="F45" i="4" s="1"/>
  <c r="F49" i="4" s="1"/>
  <c r="F51" i="4" s="1"/>
  <c r="E42" i="4"/>
  <c r="E45" i="4" s="1"/>
  <c r="E49" i="4" s="1"/>
  <c r="E51" i="4" s="1"/>
  <c r="D42" i="4"/>
  <c r="D45" i="4" s="1"/>
  <c r="S41" i="4"/>
  <c r="Q41" i="4"/>
  <c r="P41" i="4"/>
  <c r="O41" i="4"/>
  <c r="N41" i="4"/>
  <c r="H41" i="4"/>
  <c r="J41" i="4" s="1"/>
  <c r="S40" i="4"/>
  <c r="Q40" i="4"/>
  <c r="P40" i="4"/>
  <c r="O40" i="4"/>
  <c r="N40" i="4"/>
  <c r="H40" i="4"/>
  <c r="J40" i="4" s="1"/>
  <c r="S33" i="4"/>
  <c r="Q33" i="4"/>
  <c r="P33" i="4"/>
  <c r="O33" i="4"/>
  <c r="N33" i="4"/>
  <c r="H33" i="4"/>
  <c r="J33" i="4" s="1"/>
  <c r="S31" i="4"/>
  <c r="P31" i="4"/>
  <c r="O31" i="4"/>
  <c r="N31" i="4"/>
  <c r="H31" i="4"/>
  <c r="J31" i="4" s="1"/>
  <c r="S30" i="4"/>
  <c r="P30" i="4"/>
  <c r="O30" i="4"/>
  <c r="N30" i="4"/>
  <c r="H30" i="4"/>
  <c r="J30" i="4" s="1"/>
  <c r="S29" i="4"/>
  <c r="P29" i="4"/>
  <c r="O29" i="4"/>
  <c r="N29" i="4"/>
  <c r="H29" i="4"/>
  <c r="J29" i="4" s="1"/>
  <c r="S27" i="4"/>
  <c r="Q27" i="4"/>
  <c r="P27" i="4"/>
  <c r="O27" i="4"/>
  <c r="N27" i="4"/>
  <c r="H27" i="4"/>
  <c r="J27" i="4" s="1"/>
  <c r="S26" i="4"/>
  <c r="Q26" i="4"/>
  <c r="P26" i="4"/>
  <c r="O26" i="4"/>
  <c r="N26" i="4"/>
  <c r="H26" i="4"/>
  <c r="J26" i="4" s="1"/>
  <c r="I25" i="4"/>
  <c r="I28" i="4" s="1"/>
  <c r="I32" i="4" s="1"/>
  <c r="I34" i="4" s="1"/>
  <c r="G25" i="4"/>
  <c r="G28" i="4" s="1"/>
  <c r="G32" i="4" s="1"/>
  <c r="G34" i="4" s="1"/>
  <c r="F25" i="4"/>
  <c r="F28" i="4" s="1"/>
  <c r="F32" i="4" s="1"/>
  <c r="F34" i="4" s="1"/>
  <c r="E25" i="4"/>
  <c r="E28" i="4" s="1"/>
  <c r="E32" i="4" s="1"/>
  <c r="E34" i="4" s="1"/>
  <c r="D25" i="4"/>
  <c r="D28" i="4" s="1"/>
  <c r="S24" i="4"/>
  <c r="Q24" i="4"/>
  <c r="P24" i="4"/>
  <c r="O24" i="4"/>
  <c r="N24" i="4"/>
  <c r="H24" i="4"/>
  <c r="J24" i="4" s="1"/>
  <c r="S23" i="4"/>
  <c r="Q23" i="4"/>
  <c r="P23" i="4"/>
  <c r="O23" i="4"/>
  <c r="N23" i="4"/>
  <c r="H23" i="4"/>
  <c r="J23" i="4" s="1"/>
  <c r="R16" i="4"/>
  <c r="T16" i="4" s="1"/>
  <c r="H16" i="4"/>
  <c r="J16" i="4" s="1"/>
  <c r="R14" i="4"/>
  <c r="T14" i="4" s="1"/>
  <c r="H14" i="4"/>
  <c r="J14" i="4" s="1"/>
  <c r="R13" i="4"/>
  <c r="T13" i="4" s="1"/>
  <c r="H13" i="4"/>
  <c r="J13" i="4" s="1"/>
  <c r="R12" i="4"/>
  <c r="T12" i="4" s="1"/>
  <c r="H12" i="4"/>
  <c r="J12" i="4" s="1"/>
  <c r="R10" i="4"/>
  <c r="T10" i="4" s="1"/>
  <c r="H10" i="4"/>
  <c r="J10" i="4" s="1"/>
  <c r="R9" i="4"/>
  <c r="T9" i="4" s="1"/>
  <c r="H9" i="4"/>
  <c r="J9" i="4" s="1"/>
  <c r="S8" i="4"/>
  <c r="S11" i="4" s="1"/>
  <c r="S15" i="4" s="1"/>
  <c r="S17" i="4" s="1"/>
  <c r="Q8" i="4"/>
  <c r="Q11" i="4" s="1"/>
  <c r="Q15" i="4" s="1"/>
  <c r="Q17" i="4" s="1"/>
  <c r="P8" i="4"/>
  <c r="P11" i="4" s="1"/>
  <c r="P15" i="4" s="1"/>
  <c r="P17" i="4" s="1"/>
  <c r="O8" i="4"/>
  <c r="O11" i="4" s="1"/>
  <c r="O15" i="4" s="1"/>
  <c r="O17" i="4" s="1"/>
  <c r="N8" i="4"/>
  <c r="N11" i="4" s="1"/>
  <c r="I8" i="4"/>
  <c r="I11" i="4" s="1"/>
  <c r="I15" i="4" s="1"/>
  <c r="I17" i="4" s="1"/>
  <c r="G8" i="4"/>
  <c r="G11" i="4" s="1"/>
  <c r="G15" i="4" s="1"/>
  <c r="G17" i="4" s="1"/>
  <c r="F8" i="4"/>
  <c r="F11" i="4" s="1"/>
  <c r="F15" i="4" s="1"/>
  <c r="F17" i="4" s="1"/>
  <c r="E8" i="4"/>
  <c r="E11" i="4" s="1"/>
  <c r="E15" i="4" s="1"/>
  <c r="E17" i="4" s="1"/>
  <c r="D8" i="4"/>
  <c r="D11" i="4" s="1"/>
  <c r="D15" i="4" s="1"/>
  <c r="R7" i="4"/>
  <c r="T7" i="4" s="1"/>
  <c r="H7" i="4"/>
  <c r="J7" i="4" s="1"/>
  <c r="R6" i="4"/>
  <c r="T6" i="4" s="1"/>
  <c r="H6" i="4"/>
  <c r="J6" i="4" s="1"/>
  <c r="R27" i="6" l="1"/>
  <c r="T27" i="6" s="1"/>
  <c r="N66" i="6"/>
  <c r="N68" i="6" s="1"/>
  <c r="R68" i="6" s="1"/>
  <c r="T68" i="6" s="1"/>
  <c r="R62" i="6"/>
  <c r="T62" i="6" s="1"/>
  <c r="R59" i="6"/>
  <c r="T59" i="6" s="1"/>
  <c r="R11" i="6"/>
  <c r="T11" i="6" s="1"/>
  <c r="R42" i="6"/>
  <c r="T42" i="6" s="1"/>
  <c r="N16" i="7"/>
  <c r="R16" i="7" s="1"/>
  <c r="T16" i="7" s="1"/>
  <c r="R14" i="7"/>
  <c r="T14" i="7" s="1"/>
  <c r="N113" i="7"/>
  <c r="R110" i="7"/>
  <c r="T110" i="7" s="1"/>
  <c r="H20" i="7"/>
  <c r="J20" i="7" s="1"/>
  <c r="R53" i="7"/>
  <c r="T53" i="7" s="1"/>
  <c r="N57" i="7"/>
  <c r="H23" i="7"/>
  <c r="J23" i="7" s="1"/>
  <c r="H44" i="7"/>
  <c r="J44" i="7" s="1"/>
  <c r="D46" i="7"/>
  <c r="H46" i="7" s="1"/>
  <c r="J46" i="7" s="1"/>
  <c r="N46" i="7"/>
  <c r="R46" i="7" s="1"/>
  <c r="T46" i="7" s="1"/>
  <c r="R44" i="7"/>
  <c r="T44" i="7" s="1"/>
  <c r="H57" i="7"/>
  <c r="J57" i="7" s="1"/>
  <c r="D59" i="7"/>
  <c r="H59" i="7" s="1"/>
  <c r="J59" i="7" s="1"/>
  <c r="D89" i="7"/>
  <c r="H89" i="7" s="1"/>
  <c r="J89" i="7" s="1"/>
  <c r="H87" i="7"/>
  <c r="J87" i="7" s="1"/>
  <c r="N104" i="7"/>
  <c r="R100" i="7"/>
  <c r="T100" i="7" s="1"/>
  <c r="D16" i="7"/>
  <c r="H16" i="7" s="1"/>
  <c r="J16" i="7" s="1"/>
  <c r="H14" i="7"/>
  <c r="J14" i="7" s="1"/>
  <c r="D106" i="7"/>
  <c r="H106" i="7" s="1"/>
  <c r="J106" i="7" s="1"/>
  <c r="H104" i="7"/>
  <c r="J104" i="7" s="1"/>
  <c r="N87" i="7"/>
  <c r="R83" i="7"/>
  <c r="T83" i="7" s="1"/>
  <c r="D29" i="7"/>
  <c r="H29" i="7" s="1"/>
  <c r="J29" i="7" s="1"/>
  <c r="H27" i="7"/>
  <c r="J27" i="7" s="1"/>
  <c r="R74" i="7"/>
  <c r="T74" i="7" s="1"/>
  <c r="N76" i="7"/>
  <c r="R76" i="7" s="1"/>
  <c r="T76" i="7" s="1"/>
  <c r="R40" i="7"/>
  <c r="T40" i="7" s="1"/>
  <c r="R45" i="6"/>
  <c r="T45" i="6" s="1"/>
  <c r="N49" i="6"/>
  <c r="N28" i="6"/>
  <c r="R25" i="6"/>
  <c r="T25" i="6" s="1"/>
  <c r="H66" i="6"/>
  <c r="J66" i="6" s="1"/>
  <c r="D68" i="6"/>
  <c r="H68" i="6" s="1"/>
  <c r="J68" i="6" s="1"/>
  <c r="H49" i="6"/>
  <c r="J49" i="6" s="1"/>
  <c r="D51" i="6"/>
  <c r="H51" i="6" s="1"/>
  <c r="J51" i="6" s="1"/>
  <c r="H11" i="6"/>
  <c r="J11" i="6" s="1"/>
  <c r="H32" i="6"/>
  <c r="J32" i="6" s="1"/>
  <c r="D34" i="6"/>
  <c r="H34" i="6" s="1"/>
  <c r="J34" i="6" s="1"/>
  <c r="H8" i="6"/>
  <c r="J8" i="6" s="1"/>
  <c r="H15" i="6"/>
  <c r="J15" i="6" s="1"/>
  <c r="N17" i="6"/>
  <c r="R17" i="6" s="1"/>
  <c r="T17" i="6" s="1"/>
  <c r="R15" i="6"/>
  <c r="T15" i="6" s="1"/>
  <c r="P42" i="5"/>
  <c r="P45" i="5" s="1"/>
  <c r="P49" i="5" s="1"/>
  <c r="P51" i="5" s="1"/>
  <c r="S59" i="5"/>
  <c r="S62" i="5" s="1"/>
  <c r="S66" i="5" s="1"/>
  <c r="S68" i="5" s="1"/>
  <c r="R46" i="5"/>
  <c r="T46" i="5" s="1"/>
  <c r="R8" i="5"/>
  <c r="T8" i="5" s="1"/>
  <c r="R64" i="5"/>
  <c r="T64" i="5" s="1"/>
  <c r="R44" i="5"/>
  <c r="T44" i="5" s="1"/>
  <c r="R57" i="5"/>
  <c r="T57" i="5" s="1"/>
  <c r="R67" i="5"/>
  <c r="T67" i="5" s="1"/>
  <c r="H8" i="5"/>
  <c r="J8" i="5" s="1"/>
  <c r="O42" i="5"/>
  <c r="O45" i="5" s="1"/>
  <c r="O49" i="5" s="1"/>
  <c r="O51" i="5" s="1"/>
  <c r="R41" i="5"/>
  <c r="T41" i="5" s="1"/>
  <c r="O59" i="5"/>
  <c r="O62" i="5" s="1"/>
  <c r="O66" i="5" s="1"/>
  <c r="O68" i="5" s="1"/>
  <c r="R58" i="5"/>
  <c r="T58" i="5" s="1"/>
  <c r="R63" i="5"/>
  <c r="T63" i="5" s="1"/>
  <c r="Q42" i="5"/>
  <c r="Q45" i="5" s="1"/>
  <c r="Q49" i="5" s="1"/>
  <c r="Q51" i="5" s="1"/>
  <c r="R43" i="5"/>
  <c r="T43" i="5" s="1"/>
  <c r="Q59" i="5"/>
  <c r="Q62" i="5" s="1"/>
  <c r="Q66" i="5" s="1"/>
  <c r="Q68" i="5" s="1"/>
  <c r="N59" i="4"/>
  <c r="N62" i="4" s="1"/>
  <c r="S59" i="4"/>
  <c r="S62" i="4" s="1"/>
  <c r="S66" i="4" s="1"/>
  <c r="S68" i="4" s="1"/>
  <c r="P42" i="4"/>
  <c r="P45" i="4" s="1"/>
  <c r="P49" i="4" s="1"/>
  <c r="P51" i="4" s="1"/>
  <c r="N42" i="4"/>
  <c r="N45" i="4" s="1"/>
  <c r="N49" i="4" s="1"/>
  <c r="O59" i="4"/>
  <c r="O62" i="4" s="1"/>
  <c r="O66" i="4" s="1"/>
  <c r="O68" i="4" s="1"/>
  <c r="Q42" i="4"/>
  <c r="Q45" i="4" s="1"/>
  <c r="Q49" i="4" s="1"/>
  <c r="Q51" i="4" s="1"/>
  <c r="R50" i="4"/>
  <c r="T50" i="4" s="1"/>
  <c r="R64" i="4"/>
  <c r="T64" i="4" s="1"/>
  <c r="S42" i="4"/>
  <c r="S45" i="4" s="1"/>
  <c r="S49" i="4" s="1"/>
  <c r="S51" i="4" s="1"/>
  <c r="R58" i="4"/>
  <c r="T58" i="4" s="1"/>
  <c r="R61" i="4"/>
  <c r="T61" i="4" s="1"/>
  <c r="R63" i="4"/>
  <c r="T63" i="4" s="1"/>
  <c r="R67" i="4"/>
  <c r="T67" i="4" s="1"/>
  <c r="R48" i="4"/>
  <c r="T48" i="4" s="1"/>
  <c r="Q59" i="4"/>
  <c r="Q62" i="4" s="1"/>
  <c r="Q66" i="4" s="1"/>
  <c r="Q68" i="4" s="1"/>
  <c r="R60" i="4"/>
  <c r="T60" i="4" s="1"/>
  <c r="Q25" i="4"/>
  <c r="Q28" i="4" s="1"/>
  <c r="Q32" i="4" s="1"/>
  <c r="Q34" i="4" s="1"/>
  <c r="R43" i="4"/>
  <c r="T43" i="4" s="1"/>
  <c r="R47" i="4"/>
  <c r="T47" i="4" s="1"/>
  <c r="P59" i="4"/>
  <c r="P62" i="4" s="1"/>
  <c r="P66" i="4" s="1"/>
  <c r="P68" i="4" s="1"/>
  <c r="H15" i="5"/>
  <c r="J15" i="5" s="1"/>
  <c r="D17" i="5"/>
  <c r="H17" i="5" s="1"/>
  <c r="J17" i="5" s="1"/>
  <c r="I32" i="5"/>
  <c r="N11" i="5"/>
  <c r="H25" i="5"/>
  <c r="P25" i="5"/>
  <c r="P28" i="5" s="1"/>
  <c r="P32" i="5" s="1"/>
  <c r="P34" i="5" s="1"/>
  <c r="J26" i="5"/>
  <c r="D28" i="5"/>
  <c r="R29" i="5"/>
  <c r="T29" i="5" s="1"/>
  <c r="R31" i="5"/>
  <c r="T31" i="5" s="1"/>
  <c r="R48" i="5"/>
  <c r="T48" i="5" s="1"/>
  <c r="N25" i="5"/>
  <c r="R23" i="5"/>
  <c r="T23" i="5" s="1"/>
  <c r="R26" i="5"/>
  <c r="T26" i="5" s="1"/>
  <c r="R24" i="5"/>
  <c r="T24" i="5" s="1"/>
  <c r="S25" i="5"/>
  <c r="S28" i="5" s="1"/>
  <c r="S32" i="5" s="1"/>
  <c r="S34" i="5" s="1"/>
  <c r="R27" i="5"/>
  <c r="T27" i="5" s="1"/>
  <c r="F28" i="5"/>
  <c r="R30" i="5"/>
  <c r="T30" i="5" s="1"/>
  <c r="R47" i="5"/>
  <c r="T47" i="5" s="1"/>
  <c r="H11" i="5"/>
  <c r="J11" i="5" s="1"/>
  <c r="Q25" i="5"/>
  <c r="Q28" i="5" s="1"/>
  <c r="Q32" i="5" s="1"/>
  <c r="Q34" i="5" s="1"/>
  <c r="E28" i="5"/>
  <c r="J30" i="5"/>
  <c r="R33" i="5"/>
  <c r="T33" i="5" s="1"/>
  <c r="O25" i="5"/>
  <c r="O28" i="5" s="1"/>
  <c r="O32" i="5" s="1"/>
  <c r="O34" i="5" s="1"/>
  <c r="J29" i="5"/>
  <c r="J31" i="5"/>
  <c r="R60" i="5"/>
  <c r="T60" i="5" s="1"/>
  <c r="N42" i="5"/>
  <c r="R40" i="5"/>
  <c r="T40" i="5" s="1"/>
  <c r="R50" i="5"/>
  <c r="T50" i="5" s="1"/>
  <c r="N59" i="5"/>
  <c r="R61" i="5"/>
  <c r="T61" i="5" s="1"/>
  <c r="R65" i="5"/>
  <c r="T65" i="5" s="1"/>
  <c r="P59" i="5"/>
  <c r="P62" i="5" s="1"/>
  <c r="P66" i="5" s="1"/>
  <c r="P68" i="5" s="1"/>
  <c r="G28" i="5"/>
  <c r="I66" i="4"/>
  <c r="N15" i="4"/>
  <c r="R11" i="4"/>
  <c r="T11" i="4" s="1"/>
  <c r="H8" i="4"/>
  <c r="J8" i="4" s="1"/>
  <c r="H11" i="4"/>
  <c r="J11" i="4" s="1"/>
  <c r="O25" i="4"/>
  <c r="O28" i="4" s="1"/>
  <c r="O32" i="4" s="1"/>
  <c r="O34" i="4" s="1"/>
  <c r="P25" i="4"/>
  <c r="P28" i="4" s="1"/>
  <c r="P32" i="4" s="1"/>
  <c r="P34" i="4" s="1"/>
  <c r="R41" i="4"/>
  <c r="T41" i="4" s="1"/>
  <c r="F66" i="4"/>
  <c r="H15" i="4"/>
  <c r="J15" i="4" s="1"/>
  <c r="D32" i="4"/>
  <c r="H28" i="4"/>
  <c r="J28" i="4" s="1"/>
  <c r="R27" i="4"/>
  <c r="T27" i="4" s="1"/>
  <c r="R57" i="4"/>
  <c r="T57" i="4" s="1"/>
  <c r="G66" i="4"/>
  <c r="R8" i="4"/>
  <c r="T8" i="4" s="1"/>
  <c r="D17" i="4"/>
  <c r="H17" i="4" s="1"/>
  <c r="J17" i="4" s="1"/>
  <c r="R24" i="4"/>
  <c r="T24" i="4" s="1"/>
  <c r="R31" i="4"/>
  <c r="T31" i="4" s="1"/>
  <c r="H45" i="4"/>
  <c r="J45" i="4" s="1"/>
  <c r="R44" i="4"/>
  <c r="T44" i="4" s="1"/>
  <c r="D49" i="4"/>
  <c r="S25" i="4"/>
  <c r="S28" i="4" s="1"/>
  <c r="S32" i="4" s="1"/>
  <c r="S34" i="4" s="1"/>
  <c r="N25" i="4"/>
  <c r="R29" i="4"/>
  <c r="T29" i="4" s="1"/>
  <c r="R30" i="4"/>
  <c r="T30" i="4" s="1"/>
  <c r="E62" i="4"/>
  <c r="H62" i="4" s="1"/>
  <c r="D66" i="4"/>
  <c r="R40" i="4"/>
  <c r="T40" i="4" s="1"/>
  <c r="R65" i="4"/>
  <c r="T65" i="4" s="1"/>
  <c r="R23" i="4"/>
  <c r="T23" i="4" s="1"/>
  <c r="H25" i="4"/>
  <c r="J25" i="4" s="1"/>
  <c r="R26" i="4"/>
  <c r="T26" i="4" s="1"/>
  <c r="R33" i="4"/>
  <c r="T33" i="4" s="1"/>
  <c r="O42" i="4"/>
  <c r="R46" i="4"/>
  <c r="T46" i="4" s="1"/>
  <c r="J58" i="4"/>
  <c r="H59" i="4"/>
  <c r="J67" i="4"/>
  <c r="H42" i="4"/>
  <c r="J42" i="4" s="1"/>
  <c r="R66" i="6" l="1"/>
  <c r="T66" i="6" s="1"/>
  <c r="R87" i="7"/>
  <c r="T87" i="7" s="1"/>
  <c r="N89" i="7"/>
  <c r="R89" i="7" s="1"/>
  <c r="T89" i="7" s="1"/>
  <c r="N59" i="7"/>
  <c r="R59" i="7" s="1"/>
  <c r="T59" i="7" s="1"/>
  <c r="R57" i="7"/>
  <c r="T57" i="7" s="1"/>
  <c r="R113" i="7"/>
  <c r="T113" i="7" s="1"/>
  <c r="N117" i="7"/>
  <c r="R104" i="7"/>
  <c r="T104" i="7" s="1"/>
  <c r="N106" i="7"/>
  <c r="R106" i="7" s="1"/>
  <c r="T106" i="7" s="1"/>
  <c r="N51" i="6"/>
  <c r="R51" i="6" s="1"/>
  <c r="T51" i="6" s="1"/>
  <c r="R49" i="6"/>
  <c r="T49" i="6" s="1"/>
  <c r="R28" i="6"/>
  <c r="T28" i="6" s="1"/>
  <c r="N32" i="6"/>
  <c r="R59" i="4"/>
  <c r="T59" i="4" s="1"/>
  <c r="N28" i="5"/>
  <c r="R25" i="5"/>
  <c r="T25" i="5" s="1"/>
  <c r="H28" i="5"/>
  <c r="D32" i="5"/>
  <c r="J25" i="5"/>
  <c r="I34" i="5"/>
  <c r="G32" i="5"/>
  <c r="R42" i="5"/>
  <c r="T42" i="5" s="1"/>
  <c r="N45" i="5"/>
  <c r="N62" i="5"/>
  <c r="R59" i="5"/>
  <c r="T59" i="5" s="1"/>
  <c r="E32" i="5"/>
  <c r="F32" i="5"/>
  <c r="N15" i="5"/>
  <c r="R11" i="5"/>
  <c r="T11" i="5" s="1"/>
  <c r="G68" i="4"/>
  <c r="I68" i="4"/>
  <c r="D68" i="4"/>
  <c r="J62" i="4"/>
  <c r="J59" i="4"/>
  <c r="O45" i="4"/>
  <c r="R42" i="4"/>
  <c r="T42" i="4" s="1"/>
  <c r="E66" i="4"/>
  <c r="R25" i="4"/>
  <c r="T25" i="4" s="1"/>
  <c r="N28" i="4"/>
  <c r="F68" i="4"/>
  <c r="N66" i="4"/>
  <c r="R62" i="4"/>
  <c r="T62" i="4" s="1"/>
  <c r="D51" i="4"/>
  <c r="H51" i="4" s="1"/>
  <c r="J51" i="4" s="1"/>
  <c r="H49" i="4"/>
  <c r="J49" i="4" s="1"/>
  <c r="D34" i="4"/>
  <c r="H34" i="4" s="1"/>
  <c r="J34" i="4" s="1"/>
  <c r="H32" i="4"/>
  <c r="J32" i="4" s="1"/>
  <c r="N51" i="4"/>
  <c r="N17" i="4"/>
  <c r="R17" i="4" s="1"/>
  <c r="T17" i="4" s="1"/>
  <c r="R15" i="4"/>
  <c r="T15" i="4" s="1"/>
  <c r="N119" i="7" l="1"/>
  <c r="R119" i="7" s="1"/>
  <c r="T119" i="7" s="1"/>
  <c r="R117" i="7"/>
  <c r="T117" i="7" s="1"/>
  <c r="N34" i="6"/>
  <c r="R34" i="6" s="1"/>
  <c r="T34" i="6" s="1"/>
  <c r="R32" i="6"/>
  <c r="T32" i="6" s="1"/>
  <c r="J28" i="5"/>
  <c r="F34" i="5"/>
  <c r="E34" i="5"/>
  <c r="R45" i="5"/>
  <c r="T45" i="5" s="1"/>
  <c r="N49" i="5"/>
  <c r="R15" i="5"/>
  <c r="T15" i="5" s="1"/>
  <c r="N17" i="5"/>
  <c r="R17" i="5" s="1"/>
  <c r="T17" i="5" s="1"/>
  <c r="R62" i="5"/>
  <c r="T62" i="5" s="1"/>
  <c r="N66" i="5"/>
  <c r="G34" i="5"/>
  <c r="D34" i="5"/>
  <c r="H32" i="5"/>
  <c r="R28" i="5"/>
  <c r="T28" i="5" s="1"/>
  <c r="N32" i="5"/>
  <c r="O49" i="4"/>
  <c r="R45" i="4"/>
  <c r="T45" i="4" s="1"/>
  <c r="R66" i="4"/>
  <c r="T66" i="4" s="1"/>
  <c r="N68" i="4"/>
  <c r="R68" i="4" s="1"/>
  <c r="T68" i="4" s="1"/>
  <c r="E68" i="4"/>
  <c r="H68" i="4" s="1"/>
  <c r="H66" i="4"/>
  <c r="N32" i="4"/>
  <c r="R28" i="4"/>
  <c r="T28" i="4" s="1"/>
  <c r="R49" i="5" l="1"/>
  <c r="T49" i="5" s="1"/>
  <c r="N51" i="5"/>
  <c r="R51" i="5" s="1"/>
  <c r="T51" i="5" s="1"/>
  <c r="H34" i="5"/>
  <c r="N68" i="5"/>
  <c r="R68" i="5" s="1"/>
  <c r="T68" i="5" s="1"/>
  <c r="R66" i="5"/>
  <c r="T66" i="5" s="1"/>
  <c r="N34" i="5"/>
  <c r="R34" i="5" s="1"/>
  <c r="T34" i="5" s="1"/>
  <c r="R32" i="5"/>
  <c r="T32" i="5" s="1"/>
  <c r="J32" i="5"/>
  <c r="R32" i="4"/>
  <c r="T32" i="4" s="1"/>
  <c r="N34" i="4"/>
  <c r="R34" i="4" s="1"/>
  <c r="T34" i="4" s="1"/>
  <c r="J68" i="4"/>
  <c r="O51" i="4"/>
  <c r="R51" i="4" s="1"/>
  <c r="T51" i="4" s="1"/>
  <c r="R49" i="4"/>
  <c r="T49" i="4" s="1"/>
  <c r="J66" i="4"/>
  <c r="J34" i="5" l="1"/>
  <c r="AE65" i="3" l="1"/>
  <c r="AE66" i="3"/>
  <c r="AE67" i="3"/>
  <c r="AE68" i="3"/>
  <c r="AE69" i="3"/>
  <c r="AE70" i="3"/>
  <c r="AE71" i="3"/>
  <c r="AE72" i="3"/>
  <c r="AE73" i="3"/>
  <c r="AE74" i="3"/>
  <c r="AE75" i="3"/>
  <c r="AE45" i="3"/>
  <c r="AE46" i="3"/>
  <c r="AE47" i="3"/>
  <c r="AE48" i="3"/>
  <c r="AE49" i="3"/>
  <c r="AE50" i="3"/>
  <c r="AE51" i="3"/>
  <c r="AE52" i="3"/>
  <c r="AE53" i="3"/>
  <c r="AE54" i="3"/>
  <c r="AE55" i="3"/>
  <c r="AE56" i="3"/>
  <c r="AE57" i="3"/>
  <c r="AE58" i="3"/>
  <c r="AE59" i="3"/>
  <c r="AE60" i="3"/>
  <c r="AE61" i="3"/>
  <c r="AE62" i="3"/>
  <c r="AE40" i="3"/>
  <c r="AE42" i="3"/>
  <c r="AE31" i="3"/>
  <c r="AE32" i="3"/>
  <c r="AE33" i="3"/>
  <c r="AE34" i="3"/>
  <c r="AE35" i="3"/>
  <c r="AE36" i="3"/>
  <c r="AE37" i="3"/>
  <c r="AE38" i="3"/>
  <c r="AE13" i="3"/>
  <c r="AE14" i="3"/>
  <c r="AE15" i="3"/>
  <c r="AE16" i="3"/>
  <c r="AE17" i="3"/>
  <c r="AE18" i="3"/>
  <c r="AE19" i="3"/>
  <c r="AE20" i="3"/>
  <c r="AE21" i="3"/>
  <c r="AE22" i="3"/>
  <c r="AE23" i="3"/>
  <c r="AE24" i="3"/>
  <c r="AE25" i="3"/>
  <c r="AE26" i="3"/>
  <c r="AE27" i="3"/>
  <c r="AE28" i="3"/>
  <c r="AE29" i="3"/>
  <c r="AE11" i="3"/>
  <c r="AD75" i="3"/>
  <c r="AD74" i="3"/>
  <c r="AD73" i="3"/>
  <c r="AD72" i="3"/>
  <c r="AD71" i="3"/>
  <c r="AD70" i="3"/>
  <c r="AD69" i="3"/>
  <c r="AD68" i="3"/>
  <c r="AD67" i="3"/>
  <c r="AD66" i="3"/>
  <c r="AD65" i="3"/>
  <c r="AD62" i="3"/>
  <c r="AD61" i="3"/>
  <c r="AD60" i="3"/>
  <c r="AD59" i="3"/>
  <c r="AD58" i="3"/>
  <c r="AD57" i="3"/>
  <c r="AD56" i="3"/>
  <c r="AD55" i="3"/>
  <c r="AD54" i="3"/>
  <c r="AD53" i="3"/>
  <c r="AD52" i="3"/>
  <c r="AD51" i="3"/>
  <c r="AD50" i="3"/>
  <c r="AD49" i="3"/>
  <c r="AD48" i="3"/>
  <c r="AD47" i="3"/>
  <c r="AD46" i="3"/>
  <c r="AD45" i="3"/>
  <c r="AD42" i="3"/>
  <c r="AD40" i="3"/>
  <c r="AD38" i="3"/>
  <c r="AD37" i="3"/>
  <c r="AD36" i="3"/>
  <c r="AD35" i="3"/>
  <c r="AD34" i="3"/>
  <c r="AD33" i="3"/>
  <c r="AD32" i="3"/>
  <c r="AD31" i="3"/>
  <c r="AD29" i="3"/>
  <c r="AD28" i="3"/>
  <c r="AD27" i="3"/>
  <c r="AD26" i="3"/>
  <c r="AD25" i="3"/>
  <c r="AD24" i="3"/>
  <c r="AD23" i="3"/>
  <c r="AD22" i="3"/>
  <c r="AD21" i="3"/>
  <c r="AD20" i="3"/>
  <c r="AD19" i="3"/>
  <c r="AD18" i="3"/>
  <c r="AD17" i="3"/>
  <c r="AD16" i="3"/>
  <c r="AD15" i="3"/>
  <c r="AD14" i="3"/>
  <c r="AD13" i="3"/>
  <c r="AD11" i="3"/>
  <c r="AA65" i="3"/>
  <c r="AB65" i="3"/>
  <c r="AA66" i="3"/>
  <c r="AB66" i="3"/>
  <c r="AA67" i="3"/>
  <c r="AB67" i="3"/>
  <c r="AA68" i="3"/>
  <c r="AB68" i="3"/>
  <c r="AA69" i="3"/>
  <c r="AB69" i="3"/>
  <c r="AA70" i="3"/>
  <c r="AB70" i="3"/>
  <c r="AA71" i="3"/>
  <c r="AB71" i="3"/>
  <c r="AA72" i="3"/>
  <c r="AB72" i="3"/>
  <c r="AA73" i="3"/>
  <c r="AB73" i="3"/>
  <c r="AA74" i="3"/>
  <c r="AB74" i="3"/>
  <c r="AA75" i="3"/>
  <c r="AB75" i="3"/>
  <c r="AA45" i="3"/>
  <c r="AB45" i="3"/>
  <c r="AA46" i="3"/>
  <c r="AB46" i="3"/>
  <c r="AA47" i="3"/>
  <c r="AB47" i="3"/>
  <c r="AA48" i="3"/>
  <c r="AB48" i="3"/>
  <c r="AA49" i="3"/>
  <c r="AB49" i="3"/>
  <c r="AA50" i="3"/>
  <c r="AB50" i="3"/>
  <c r="AA51" i="3"/>
  <c r="AB51" i="3"/>
  <c r="AA52" i="3"/>
  <c r="AB52" i="3"/>
  <c r="AA53" i="3"/>
  <c r="AB53" i="3"/>
  <c r="AA54" i="3"/>
  <c r="AB54" i="3"/>
  <c r="AA55" i="3"/>
  <c r="AB55" i="3"/>
  <c r="AA56" i="3"/>
  <c r="AB56" i="3"/>
  <c r="AA57" i="3"/>
  <c r="AB57" i="3"/>
  <c r="AA58" i="3"/>
  <c r="AB58" i="3"/>
  <c r="AA59" i="3"/>
  <c r="AB59" i="3"/>
  <c r="AA60" i="3"/>
  <c r="AB60" i="3"/>
  <c r="AA61" i="3"/>
  <c r="AB61" i="3"/>
  <c r="AA62" i="3"/>
  <c r="AB62" i="3"/>
  <c r="AA40" i="3"/>
  <c r="AB40" i="3"/>
  <c r="AA42" i="3"/>
  <c r="AB42" i="3"/>
  <c r="AA31" i="3"/>
  <c r="AB31" i="3"/>
  <c r="AA32" i="3"/>
  <c r="AB32" i="3"/>
  <c r="AA33" i="3"/>
  <c r="AB33" i="3"/>
  <c r="AA34" i="3"/>
  <c r="AB34" i="3"/>
  <c r="AA35" i="3"/>
  <c r="AB35" i="3"/>
  <c r="AA36" i="3"/>
  <c r="AB36" i="3"/>
  <c r="AA37" i="3"/>
  <c r="AB37" i="3"/>
  <c r="AA38" i="3"/>
  <c r="AB38" i="3"/>
  <c r="AA13" i="3"/>
  <c r="AB13" i="3"/>
  <c r="AA14" i="3"/>
  <c r="AB14" i="3"/>
  <c r="AA15" i="3"/>
  <c r="AB15" i="3"/>
  <c r="AA16" i="3"/>
  <c r="AB16" i="3"/>
  <c r="AA17" i="3"/>
  <c r="AB17" i="3"/>
  <c r="AA18" i="3"/>
  <c r="AB18" i="3"/>
  <c r="AA19" i="3"/>
  <c r="AB19" i="3"/>
  <c r="AA20" i="3"/>
  <c r="AB20" i="3"/>
  <c r="AA21" i="3"/>
  <c r="AB21" i="3"/>
  <c r="AA22" i="3"/>
  <c r="AB22" i="3"/>
  <c r="AA23" i="3"/>
  <c r="AB23" i="3"/>
  <c r="AA24" i="3"/>
  <c r="AB24" i="3"/>
  <c r="AA25" i="3"/>
  <c r="AB25" i="3"/>
  <c r="AA26" i="3"/>
  <c r="AB26" i="3"/>
  <c r="AA27" i="3"/>
  <c r="AB27" i="3"/>
  <c r="AA28" i="3"/>
  <c r="AB28" i="3"/>
  <c r="AA29" i="3"/>
  <c r="AB29" i="3"/>
  <c r="AA11" i="3"/>
  <c r="AB11" i="3"/>
  <c r="Z75" i="3"/>
  <c r="Z74" i="3"/>
  <c r="Z73" i="3"/>
  <c r="Z72" i="3"/>
  <c r="Z71" i="3"/>
  <c r="Z70" i="3"/>
  <c r="Z69" i="3"/>
  <c r="Z68" i="3"/>
  <c r="Z67" i="3"/>
  <c r="Z66" i="3"/>
  <c r="Z65" i="3"/>
  <c r="Z62" i="3"/>
  <c r="Z61" i="3"/>
  <c r="Z60" i="3"/>
  <c r="Z59" i="3"/>
  <c r="Z58" i="3"/>
  <c r="Z57" i="3"/>
  <c r="Z56" i="3"/>
  <c r="Z55" i="3"/>
  <c r="Z54" i="3"/>
  <c r="Z53" i="3"/>
  <c r="Z52" i="3"/>
  <c r="Z51" i="3"/>
  <c r="Z50" i="3"/>
  <c r="Z49" i="3"/>
  <c r="Z48" i="3"/>
  <c r="Z47" i="3"/>
  <c r="Z46" i="3"/>
  <c r="Z45" i="3"/>
  <c r="Z42" i="3"/>
  <c r="Z40" i="3"/>
  <c r="Z38" i="3"/>
  <c r="Z37" i="3"/>
  <c r="Z36" i="3"/>
  <c r="Z35" i="3"/>
  <c r="Z34" i="3"/>
  <c r="Z33" i="3"/>
  <c r="Z32" i="3"/>
  <c r="Z31" i="3"/>
  <c r="Z29" i="3"/>
  <c r="Z28" i="3"/>
  <c r="Z27" i="3"/>
  <c r="Z26" i="3"/>
  <c r="Z25" i="3"/>
  <c r="Z24" i="3"/>
  <c r="Z23" i="3"/>
  <c r="Z22" i="3"/>
  <c r="Z21" i="3"/>
  <c r="Z20" i="3"/>
  <c r="Z19" i="3"/>
  <c r="Z18" i="3"/>
  <c r="Z17" i="3"/>
  <c r="Z16" i="3"/>
  <c r="Z15" i="3"/>
  <c r="Z14" i="3"/>
  <c r="Z13" i="3"/>
  <c r="Z11" i="3"/>
  <c r="W65" i="3"/>
  <c r="X65" i="3"/>
  <c r="W66" i="3"/>
  <c r="X66" i="3"/>
  <c r="W67" i="3"/>
  <c r="X67" i="3"/>
  <c r="W68" i="3"/>
  <c r="X68" i="3"/>
  <c r="W69" i="3"/>
  <c r="X69" i="3"/>
  <c r="W70" i="3"/>
  <c r="X70" i="3"/>
  <c r="W71" i="3"/>
  <c r="X71" i="3"/>
  <c r="W72" i="3"/>
  <c r="X72" i="3"/>
  <c r="W73" i="3"/>
  <c r="X73" i="3"/>
  <c r="W74" i="3"/>
  <c r="X74" i="3"/>
  <c r="W75" i="3"/>
  <c r="X75" i="3"/>
  <c r="W45" i="3"/>
  <c r="X45" i="3"/>
  <c r="W46" i="3"/>
  <c r="X46" i="3"/>
  <c r="W47" i="3"/>
  <c r="X47" i="3"/>
  <c r="W48" i="3"/>
  <c r="X48" i="3"/>
  <c r="W49" i="3"/>
  <c r="X49" i="3"/>
  <c r="W50" i="3"/>
  <c r="X50" i="3"/>
  <c r="W51" i="3"/>
  <c r="X51" i="3"/>
  <c r="W52" i="3"/>
  <c r="X52" i="3"/>
  <c r="W53" i="3"/>
  <c r="X53" i="3"/>
  <c r="W54" i="3"/>
  <c r="X54" i="3"/>
  <c r="W55" i="3"/>
  <c r="X55" i="3"/>
  <c r="W56" i="3"/>
  <c r="X56" i="3"/>
  <c r="W57" i="3"/>
  <c r="X57" i="3"/>
  <c r="W58" i="3"/>
  <c r="X58" i="3"/>
  <c r="W59" i="3"/>
  <c r="X59" i="3"/>
  <c r="W60" i="3"/>
  <c r="X60" i="3"/>
  <c r="W61" i="3"/>
  <c r="X61" i="3"/>
  <c r="W62" i="3"/>
  <c r="X62" i="3"/>
  <c r="W40" i="3"/>
  <c r="X40" i="3"/>
  <c r="W42" i="3"/>
  <c r="X42" i="3"/>
  <c r="W31" i="3"/>
  <c r="X31" i="3"/>
  <c r="W32" i="3"/>
  <c r="X32" i="3"/>
  <c r="W33" i="3"/>
  <c r="X33" i="3"/>
  <c r="W34" i="3"/>
  <c r="X34" i="3"/>
  <c r="W35" i="3"/>
  <c r="X35" i="3"/>
  <c r="W36" i="3"/>
  <c r="X36" i="3"/>
  <c r="W37" i="3"/>
  <c r="X37" i="3"/>
  <c r="W38" i="3"/>
  <c r="X38" i="3"/>
  <c r="W13" i="3"/>
  <c r="X13" i="3"/>
  <c r="W14" i="3"/>
  <c r="X14" i="3"/>
  <c r="W15" i="3"/>
  <c r="X15" i="3"/>
  <c r="W16" i="3"/>
  <c r="X16" i="3"/>
  <c r="W17" i="3"/>
  <c r="X17" i="3"/>
  <c r="W18" i="3"/>
  <c r="X18" i="3"/>
  <c r="W19" i="3"/>
  <c r="X19" i="3"/>
  <c r="W20" i="3"/>
  <c r="X20" i="3"/>
  <c r="W21" i="3"/>
  <c r="X21" i="3"/>
  <c r="W22" i="3"/>
  <c r="X22" i="3"/>
  <c r="W23" i="3"/>
  <c r="X23" i="3"/>
  <c r="W24" i="3"/>
  <c r="X24" i="3"/>
  <c r="W25" i="3"/>
  <c r="X25" i="3"/>
  <c r="W26" i="3"/>
  <c r="X26" i="3"/>
  <c r="W27" i="3"/>
  <c r="X27" i="3"/>
  <c r="W28" i="3"/>
  <c r="X28" i="3"/>
  <c r="W29" i="3"/>
  <c r="X29" i="3"/>
  <c r="W11" i="3"/>
  <c r="X11" i="3"/>
  <c r="V75" i="3"/>
  <c r="V74" i="3"/>
  <c r="V73" i="3"/>
  <c r="V72" i="3"/>
  <c r="V71" i="3"/>
  <c r="V70" i="3"/>
  <c r="V69" i="3"/>
  <c r="V68" i="3"/>
  <c r="V67" i="3"/>
  <c r="V76" i="3" s="1"/>
  <c r="V66" i="3"/>
  <c r="V65" i="3"/>
  <c r="V62" i="3"/>
  <c r="V61" i="3"/>
  <c r="V60" i="3"/>
  <c r="V59" i="3"/>
  <c r="V58" i="3"/>
  <c r="V57" i="3"/>
  <c r="V56" i="3"/>
  <c r="V55" i="3"/>
  <c r="V54" i="3"/>
  <c r="V53" i="3"/>
  <c r="V52" i="3"/>
  <c r="V51" i="3"/>
  <c r="V50" i="3"/>
  <c r="V49" i="3"/>
  <c r="V48" i="3"/>
  <c r="V47" i="3"/>
  <c r="V46" i="3"/>
  <c r="V45" i="3"/>
  <c r="V63" i="3" s="1"/>
  <c r="V42" i="3"/>
  <c r="V40" i="3"/>
  <c r="V38" i="3"/>
  <c r="V37" i="3"/>
  <c r="V36" i="3"/>
  <c r="V35" i="3"/>
  <c r="V34" i="3"/>
  <c r="V33" i="3"/>
  <c r="V32" i="3"/>
  <c r="V31" i="3"/>
  <c r="V29" i="3"/>
  <c r="V28" i="3"/>
  <c r="V27" i="3"/>
  <c r="V26" i="3"/>
  <c r="V25" i="3"/>
  <c r="V24" i="3"/>
  <c r="V23" i="3"/>
  <c r="V22" i="3"/>
  <c r="V21" i="3"/>
  <c r="V20" i="3"/>
  <c r="V19" i="3"/>
  <c r="V18" i="3"/>
  <c r="V17" i="3"/>
  <c r="V16" i="3"/>
  <c r="V15" i="3"/>
  <c r="V14" i="3"/>
  <c r="V13" i="3"/>
  <c r="V11" i="3"/>
  <c r="AF78" i="3"/>
  <c r="AE78" i="3"/>
  <c r="AD78" i="3"/>
  <c r="AC78" i="3"/>
  <c r="AB78" i="3"/>
  <c r="AA78" i="3"/>
  <c r="Z78" i="3"/>
  <c r="Y78" i="3"/>
  <c r="X78" i="3"/>
  <c r="W78" i="3"/>
  <c r="V78" i="3"/>
  <c r="U78" i="3"/>
  <c r="AF76" i="3"/>
  <c r="AC76" i="3"/>
  <c r="Y76" i="3"/>
  <c r="U76" i="3"/>
  <c r="AF63" i="3"/>
  <c r="AC63" i="3"/>
  <c r="Y63" i="3"/>
  <c r="U63" i="3"/>
  <c r="AF12" i="3"/>
  <c r="AF30" i="3" s="1"/>
  <c r="AF39" i="3" s="1"/>
  <c r="AF43" i="3" s="1"/>
  <c r="AC12" i="3"/>
  <c r="AC30" i="3" s="1"/>
  <c r="AC39" i="3" s="1"/>
  <c r="AC43" i="3" s="1"/>
  <c r="Y12" i="3"/>
  <c r="Y30" i="3" s="1"/>
  <c r="Y39" i="3" s="1"/>
  <c r="Y43" i="3" s="1"/>
  <c r="W12" i="3"/>
  <c r="W30" i="3" s="1"/>
  <c r="W39" i="3" s="1"/>
  <c r="W43" i="3" s="1"/>
  <c r="U12" i="3"/>
  <c r="U30" i="3" s="1"/>
  <c r="U39" i="3" s="1"/>
  <c r="U43" i="3" s="1"/>
  <c r="L78" i="3"/>
  <c r="M78" i="3"/>
  <c r="N78" i="3"/>
  <c r="O78" i="3"/>
  <c r="AB76" i="3" l="1"/>
  <c r="W63" i="3"/>
  <c r="W76" i="3"/>
  <c r="W77" i="3" s="1"/>
  <c r="AB63" i="3"/>
  <c r="AC77" i="3"/>
  <c r="AC81" i="3" s="1"/>
  <c r="AD79" i="3" s="1"/>
  <c r="Z76" i="3"/>
  <c r="X12" i="3"/>
  <c r="X30" i="3" s="1"/>
  <c r="X39" i="3" s="1"/>
  <c r="X43" i="3" s="1"/>
  <c r="AA12" i="3"/>
  <c r="AA30" i="3" s="1"/>
  <c r="AA39" i="3" s="1"/>
  <c r="AA43" i="3" s="1"/>
  <c r="AE63" i="3"/>
  <c r="X76" i="3"/>
  <c r="Y77" i="3"/>
  <c r="Y81" i="3" s="1"/>
  <c r="X63" i="3"/>
  <c r="AA76" i="3"/>
  <c r="AD12" i="3"/>
  <c r="AD30" i="3" s="1"/>
  <c r="AD39" i="3" s="1"/>
  <c r="AD43" i="3" s="1"/>
  <c r="AD63" i="3"/>
  <c r="U77" i="3"/>
  <c r="U81" i="3" s="1"/>
  <c r="V12" i="3"/>
  <c r="V30" i="3" s="1"/>
  <c r="Z12" i="3"/>
  <c r="Z30" i="3" s="1"/>
  <c r="Z39" i="3" s="1"/>
  <c r="Z43" i="3" s="1"/>
  <c r="AA63" i="3"/>
  <c r="AE12" i="3"/>
  <c r="AE30" i="3" s="1"/>
  <c r="AE39" i="3" s="1"/>
  <c r="AE43" i="3" s="1"/>
  <c r="AF77" i="3"/>
  <c r="Z63" i="3"/>
  <c r="AB12" i="3"/>
  <c r="AB30" i="3" s="1"/>
  <c r="AB39" i="3" s="1"/>
  <c r="AB43" i="3" s="1"/>
  <c r="AB77" i="3" s="1"/>
  <c r="AD76" i="3"/>
  <c r="AE76" i="3"/>
  <c r="V39" i="3"/>
  <c r="V43" i="3" s="1"/>
  <c r="V77" i="3" s="1"/>
  <c r="Z77" i="3" l="1"/>
  <c r="AA77" i="3"/>
  <c r="AD77" i="3"/>
  <c r="AD81" i="3" s="1"/>
  <c r="AE79" i="3" s="1"/>
  <c r="AE77" i="3"/>
  <c r="X77" i="3"/>
  <c r="V79" i="3"/>
  <c r="V81" i="3" s="1"/>
  <c r="Z79" i="3"/>
  <c r="Z81" i="3" s="1"/>
  <c r="AE81" i="3" l="1"/>
  <c r="AF79" i="3" s="1"/>
  <c r="AF81" i="3" s="1"/>
  <c r="AG79" i="3" s="1"/>
  <c r="AG81" i="3" s="1"/>
  <c r="AH79" i="3" s="1"/>
  <c r="AH81" i="3" s="1"/>
  <c r="AI79" i="3" s="1"/>
  <c r="AI81" i="3" s="1"/>
  <c r="AJ79" i="3" s="1"/>
  <c r="AJ81" i="3" s="1"/>
  <c r="W79" i="3"/>
  <c r="W81" i="3" s="1"/>
  <c r="AA79" i="3"/>
  <c r="AA81" i="3" s="1"/>
  <c r="J78" i="3"/>
  <c r="AB79" i="3" l="1"/>
  <c r="AB81" i="3" s="1"/>
  <c r="X79" i="3"/>
  <c r="X81" i="3" s="1"/>
  <c r="D76" i="3"/>
  <c r="E76" i="3"/>
  <c r="F76" i="3"/>
  <c r="G76" i="3"/>
  <c r="H22" i="16" s="1"/>
  <c r="D78" i="3"/>
  <c r="E78" i="3"/>
  <c r="F78" i="3"/>
  <c r="G78" i="3"/>
  <c r="D63" i="3"/>
  <c r="E63" i="3"/>
  <c r="F63" i="3"/>
  <c r="G63" i="3"/>
  <c r="H21" i="16" s="1"/>
  <c r="D12" i="3"/>
  <c r="D30" i="3" s="1"/>
  <c r="D39" i="3" s="1"/>
  <c r="D43" i="3" s="1"/>
  <c r="D77" i="3" s="1"/>
  <c r="D81" i="3" s="1"/>
  <c r="U83" i="3" s="1"/>
  <c r="E12" i="3"/>
  <c r="E30" i="3" s="1"/>
  <c r="E39" i="3" s="1"/>
  <c r="E43" i="3" s="1"/>
  <c r="F12" i="3"/>
  <c r="F30" i="3" s="1"/>
  <c r="F39" i="3" s="1"/>
  <c r="F43" i="3" s="1"/>
  <c r="G12" i="3"/>
  <c r="G30" i="3" s="1"/>
  <c r="G39" i="3" s="1"/>
  <c r="G43" i="3" s="1"/>
  <c r="G77" i="3" l="1"/>
  <c r="G81" i="3" s="1"/>
  <c r="X83" i="3" s="1"/>
  <c r="H20" i="16"/>
  <c r="H23" i="16" s="1"/>
  <c r="F77" i="3"/>
  <c r="F81" i="3" s="1"/>
  <c r="W83" i="3" s="1"/>
  <c r="E77" i="3"/>
  <c r="E81" i="3" s="1"/>
  <c r="V83" i="3" s="1"/>
  <c r="K78" i="3"/>
  <c r="H78" i="3"/>
  <c r="I78" i="3"/>
  <c r="K76" i="3"/>
  <c r="I22" i="16" s="1"/>
  <c r="L76" i="3"/>
  <c r="M76" i="3"/>
  <c r="N76" i="3"/>
  <c r="O76" i="3"/>
  <c r="J22" i="16" s="1"/>
  <c r="H76" i="3"/>
  <c r="I76" i="3"/>
  <c r="K63" i="3"/>
  <c r="I21" i="16" s="1"/>
  <c r="L63" i="3"/>
  <c r="M63" i="3"/>
  <c r="N63" i="3"/>
  <c r="O63" i="3"/>
  <c r="H63" i="3"/>
  <c r="I63" i="3"/>
  <c r="K12" i="3"/>
  <c r="K30" i="3" s="1"/>
  <c r="K39" i="3" s="1"/>
  <c r="K43" i="3" s="1"/>
  <c r="I20" i="16" s="1"/>
  <c r="L12" i="3"/>
  <c r="L30" i="3" s="1"/>
  <c r="L39" i="3" s="1"/>
  <c r="L43" i="3" s="1"/>
  <c r="M12" i="3"/>
  <c r="M30" i="3" s="1"/>
  <c r="M39" i="3" s="1"/>
  <c r="M43" i="3" s="1"/>
  <c r="N12" i="3"/>
  <c r="N30" i="3" s="1"/>
  <c r="N39" i="3" s="1"/>
  <c r="N43" i="3" s="1"/>
  <c r="O12" i="3"/>
  <c r="O30" i="3" s="1"/>
  <c r="O39" i="3" s="1"/>
  <c r="O43" i="3" s="1"/>
  <c r="J20" i="16" s="1"/>
  <c r="H12" i="3"/>
  <c r="H30" i="3" s="1"/>
  <c r="H39" i="3" s="1"/>
  <c r="H43" i="3" s="1"/>
  <c r="I12" i="3"/>
  <c r="I30" i="3" s="1"/>
  <c r="I39" i="3" s="1"/>
  <c r="I43" i="3" s="1"/>
  <c r="J76" i="3"/>
  <c r="J63" i="3"/>
  <c r="J12" i="3"/>
  <c r="J21" i="16" l="1"/>
  <c r="J23" i="16" s="1"/>
  <c r="I23" i="16"/>
  <c r="L77" i="3"/>
  <c r="L81" i="3" s="1"/>
  <c r="AC83" i="3" s="1"/>
  <c r="I77" i="3"/>
  <c r="I81" i="3" s="1"/>
  <c r="Z83" i="3" s="1"/>
  <c r="M77" i="3"/>
  <c r="M81" i="3" s="1"/>
  <c r="AD83" i="3" s="1"/>
  <c r="O77" i="3"/>
  <c r="N77" i="3"/>
  <c r="N81" i="3" s="1"/>
  <c r="AE83" i="3" s="1"/>
  <c r="K77" i="3"/>
  <c r="K81" i="3" s="1"/>
  <c r="AB83" i="3" s="1"/>
  <c r="H77" i="3"/>
  <c r="H81" i="3" s="1"/>
  <c r="Y83" i="3" s="1"/>
  <c r="J30" i="3"/>
  <c r="J39" i="3" s="1"/>
  <c r="J43" i="3" s="1"/>
  <c r="J77" i="3" s="1"/>
  <c r="J81" i="3" s="1"/>
  <c r="AA83" i="3" s="1"/>
  <c r="O81" i="3" l="1"/>
  <c r="P79" i="3" s="1"/>
  <c r="P81" i="3" s="1"/>
  <c r="V94" i="2"/>
  <c r="U94" i="2"/>
  <c r="V93" i="2"/>
  <c r="U93" i="2"/>
  <c r="V92" i="2"/>
  <c r="U92" i="2"/>
  <c r="V91" i="2"/>
  <c r="U91" i="2"/>
  <c r="V90" i="2"/>
  <c r="U90" i="2"/>
  <c r="V89" i="2"/>
  <c r="U89" i="2"/>
  <c r="V87" i="2"/>
  <c r="U87" i="2"/>
  <c r="V86" i="2"/>
  <c r="U86" i="2"/>
  <c r="V85" i="2"/>
  <c r="U85" i="2"/>
  <c r="V84" i="2"/>
  <c r="U84" i="2"/>
  <c r="V83" i="2"/>
  <c r="U83" i="2"/>
  <c r="V81" i="2"/>
  <c r="U81" i="2"/>
  <c r="V80" i="2"/>
  <c r="U80" i="2"/>
  <c r="V77" i="2"/>
  <c r="U77" i="2"/>
  <c r="V76" i="2"/>
  <c r="U76" i="2"/>
  <c r="V75" i="2"/>
  <c r="U75" i="2"/>
  <c r="V74" i="2"/>
  <c r="U74" i="2"/>
  <c r="V73" i="2"/>
  <c r="U73" i="2"/>
  <c r="V72" i="2"/>
  <c r="U72" i="2"/>
  <c r="V71" i="2"/>
  <c r="U71" i="2"/>
  <c r="V69" i="2"/>
  <c r="U69" i="2"/>
  <c r="V68" i="2"/>
  <c r="U68" i="2"/>
  <c r="V64" i="2"/>
  <c r="I29" i="16" s="1"/>
  <c r="U64" i="2"/>
  <c r="H29" i="16" s="1"/>
  <c r="V63" i="2"/>
  <c r="U63" i="2"/>
  <c r="V62" i="2"/>
  <c r="U62" i="2"/>
  <c r="V61" i="2"/>
  <c r="U61" i="2"/>
  <c r="V59" i="2"/>
  <c r="U59" i="2"/>
  <c r="V58" i="2"/>
  <c r="U58" i="2"/>
  <c r="V57" i="2"/>
  <c r="U57" i="2"/>
  <c r="V56" i="2"/>
  <c r="U56" i="2"/>
  <c r="V53" i="2"/>
  <c r="I30" i="16" s="1"/>
  <c r="U53" i="2"/>
  <c r="H30" i="16" s="1"/>
  <c r="V49" i="2"/>
  <c r="U49" i="2"/>
  <c r="V48" i="2"/>
  <c r="U48" i="2"/>
  <c r="V47" i="2"/>
  <c r="U47" i="2"/>
  <c r="V46" i="2"/>
  <c r="U46" i="2"/>
  <c r="V45" i="2"/>
  <c r="U45" i="2"/>
  <c r="V44" i="2"/>
  <c r="U44" i="2"/>
  <c r="V42" i="2"/>
  <c r="U42" i="2"/>
  <c r="V41" i="2"/>
  <c r="U41" i="2"/>
  <c r="V39" i="2"/>
  <c r="U39" i="2"/>
  <c r="V38" i="2"/>
  <c r="U38" i="2"/>
  <c r="V36" i="2"/>
  <c r="U36" i="2"/>
  <c r="V35" i="2"/>
  <c r="U35" i="2"/>
  <c r="V34" i="2"/>
  <c r="U34" i="2"/>
  <c r="V33" i="2"/>
  <c r="U33" i="2"/>
  <c r="V31" i="2"/>
  <c r="U31" i="2"/>
  <c r="V30" i="2"/>
  <c r="U30" i="2"/>
  <c r="V28" i="2"/>
  <c r="U28" i="2"/>
  <c r="V27" i="2"/>
  <c r="U27" i="2"/>
  <c r="V26" i="2"/>
  <c r="U26" i="2"/>
  <c r="V25" i="2"/>
  <c r="U25" i="2"/>
  <c r="V23" i="2"/>
  <c r="U23" i="2"/>
  <c r="V22" i="2"/>
  <c r="U22" i="2"/>
  <c r="V20" i="2"/>
  <c r="U20" i="2"/>
  <c r="V19" i="2"/>
  <c r="U19" i="2"/>
  <c r="V17" i="2"/>
  <c r="U17" i="2"/>
  <c r="V16" i="2"/>
  <c r="U16" i="2"/>
  <c r="V15" i="2"/>
  <c r="U15" i="2"/>
  <c r="V14" i="2"/>
  <c r="U14" i="2"/>
  <c r="V13" i="2"/>
  <c r="U13" i="2"/>
  <c r="V12" i="2"/>
  <c r="U12" i="2"/>
  <c r="V11" i="2"/>
  <c r="U11" i="2"/>
  <c r="S79" i="3" l="1"/>
  <c r="R79" i="3"/>
  <c r="R81" i="3" s="1"/>
  <c r="AF83" i="3"/>
  <c r="Q79" i="3"/>
  <c r="Q81" i="3" s="1"/>
  <c r="J60" i="2"/>
  <c r="S81" i="3" l="1"/>
  <c r="D18" i="2"/>
  <c r="E18" i="2"/>
  <c r="F18" i="2"/>
  <c r="H18" i="2"/>
  <c r="I18" i="2"/>
  <c r="J18" i="2"/>
  <c r="K18" i="2"/>
  <c r="V18" i="2" s="1"/>
  <c r="L18" i="2"/>
  <c r="M18" i="2"/>
  <c r="N18" i="2"/>
  <c r="H88" i="2"/>
  <c r="I88" i="2"/>
  <c r="J88" i="2"/>
  <c r="K88" i="2"/>
  <c r="V88" i="2" s="1"/>
  <c r="L88" i="2"/>
  <c r="M88" i="2"/>
  <c r="D88" i="2"/>
  <c r="E88" i="2"/>
  <c r="F88" i="2"/>
  <c r="H82" i="2"/>
  <c r="I82" i="2"/>
  <c r="J82" i="2"/>
  <c r="K82" i="2"/>
  <c r="V82" i="2" s="1"/>
  <c r="L82" i="2"/>
  <c r="M82" i="2"/>
  <c r="N82" i="2"/>
  <c r="D82" i="2"/>
  <c r="E82" i="2"/>
  <c r="F82" i="2"/>
  <c r="G82" i="2"/>
  <c r="U82" i="2" s="1"/>
  <c r="H79" i="2"/>
  <c r="I79" i="2"/>
  <c r="J79" i="2"/>
  <c r="K79" i="2"/>
  <c r="V79" i="2" s="1"/>
  <c r="L79" i="2"/>
  <c r="M79" i="2"/>
  <c r="D79" i="2"/>
  <c r="E79" i="2"/>
  <c r="F79" i="2"/>
  <c r="G79" i="2"/>
  <c r="H70" i="2"/>
  <c r="I70" i="2"/>
  <c r="J70" i="2"/>
  <c r="K70" i="2"/>
  <c r="V70" i="2" s="1"/>
  <c r="L70" i="2"/>
  <c r="M70" i="2"/>
  <c r="D70" i="2"/>
  <c r="E70" i="2"/>
  <c r="F70" i="2"/>
  <c r="H67" i="2"/>
  <c r="I67" i="2"/>
  <c r="J67" i="2"/>
  <c r="K67" i="2"/>
  <c r="V67" i="2" s="1"/>
  <c r="L67" i="2"/>
  <c r="M67" i="2"/>
  <c r="D67" i="2"/>
  <c r="E67" i="2"/>
  <c r="F67" i="2"/>
  <c r="H60" i="2"/>
  <c r="H52" i="2" s="1"/>
  <c r="H51" i="2" s="1"/>
  <c r="I60" i="2"/>
  <c r="I52" i="2" s="1"/>
  <c r="I51" i="2" s="1"/>
  <c r="J52" i="2"/>
  <c r="J51" i="2" s="1"/>
  <c r="K60" i="2"/>
  <c r="V60" i="2" s="1"/>
  <c r="L60" i="2"/>
  <c r="L52" i="2" s="1"/>
  <c r="L51" i="2" s="1"/>
  <c r="M60" i="2"/>
  <c r="M52" i="2" s="1"/>
  <c r="M51" i="2" s="1"/>
  <c r="N60" i="2"/>
  <c r="D60" i="2"/>
  <c r="D52" i="2" s="1"/>
  <c r="D51" i="2" s="1"/>
  <c r="E60" i="2"/>
  <c r="E52" i="2" s="1"/>
  <c r="E51" i="2" s="1"/>
  <c r="F60" i="2"/>
  <c r="F52" i="2" s="1"/>
  <c r="F51" i="2" s="1"/>
  <c r="H43" i="2"/>
  <c r="I43" i="2"/>
  <c r="J43" i="2"/>
  <c r="K43" i="2"/>
  <c r="V43" i="2" s="1"/>
  <c r="L43" i="2"/>
  <c r="M43" i="2"/>
  <c r="D43" i="2"/>
  <c r="E43" i="2"/>
  <c r="F43" i="2"/>
  <c r="D40" i="2"/>
  <c r="E40" i="2"/>
  <c r="F40" i="2"/>
  <c r="H40" i="2"/>
  <c r="I40" i="2"/>
  <c r="J40" i="2"/>
  <c r="K40" i="2"/>
  <c r="V40" i="2" s="1"/>
  <c r="L40" i="2"/>
  <c r="M40" i="2"/>
  <c r="G40" i="2"/>
  <c r="U40" i="2" s="1"/>
  <c r="D37" i="2"/>
  <c r="E37" i="2"/>
  <c r="F37" i="2"/>
  <c r="H37" i="2"/>
  <c r="I37" i="2"/>
  <c r="J37" i="2"/>
  <c r="K37" i="2"/>
  <c r="V37" i="2" s="1"/>
  <c r="L37" i="2"/>
  <c r="M37" i="2"/>
  <c r="N37" i="2"/>
  <c r="G37" i="2"/>
  <c r="U37" i="2" s="1"/>
  <c r="H32" i="2"/>
  <c r="I32" i="2"/>
  <c r="J32" i="2"/>
  <c r="K32" i="2"/>
  <c r="V32" i="2" s="1"/>
  <c r="L32" i="2"/>
  <c r="M32" i="2"/>
  <c r="N32" i="2"/>
  <c r="D32" i="2"/>
  <c r="E32" i="2"/>
  <c r="F32" i="2"/>
  <c r="G32" i="2"/>
  <c r="U32" i="2" s="1"/>
  <c r="H24" i="2"/>
  <c r="I24" i="2"/>
  <c r="J24" i="2"/>
  <c r="K24" i="2"/>
  <c r="V24" i="2" s="1"/>
  <c r="L24" i="2"/>
  <c r="M24" i="2"/>
  <c r="D24" i="2"/>
  <c r="E24" i="2"/>
  <c r="F24" i="2"/>
  <c r="G24" i="2"/>
  <c r="U24" i="2" s="1"/>
  <c r="H21" i="2"/>
  <c r="I21" i="2"/>
  <c r="J21" i="2"/>
  <c r="L21" i="2"/>
  <c r="M21" i="2"/>
  <c r="D21" i="2"/>
  <c r="E21" i="2"/>
  <c r="F21" i="2"/>
  <c r="G88" i="2"/>
  <c r="U88" i="2" s="1"/>
  <c r="G60" i="2"/>
  <c r="U60" i="2" s="1"/>
  <c r="G43" i="2"/>
  <c r="U43" i="2" s="1"/>
  <c r="D78" i="2" l="1"/>
  <c r="K52" i="2"/>
  <c r="H10" i="2"/>
  <c r="U79" i="2"/>
  <c r="G78" i="2"/>
  <c r="U78" i="2" s="1"/>
  <c r="H32" i="16" s="1"/>
  <c r="F78" i="2"/>
  <c r="J29" i="2"/>
  <c r="H66" i="2"/>
  <c r="H78" i="2"/>
  <c r="E10" i="2"/>
  <c r="L66" i="2"/>
  <c r="J78" i="2"/>
  <c r="M10" i="2"/>
  <c r="D66" i="2"/>
  <c r="D65" i="2" s="1"/>
  <c r="D95" i="2" s="1"/>
  <c r="F10" i="2"/>
  <c r="J10" i="2"/>
  <c r="D10" i="2"/>
  <c r="J66" i="2"/>
  <c r="E66" i="2"/>
  <c r="K66" i="2"/>
  <c r="V66" i="2" s="1"/>
  <c r="I31" i="16" s="1"/>
  <c r="D29" i="2"/>
  <c r="F29" i="2"/>
  <c r="L10" i="2"/>
  <c r="N52" i="2"/>
  <c r="N51" i="2" s="1"/>
  <c r="F66" i="2"/>
  <c r="M78" i="2"/>
  <c r="L78" i="2"/>
  <c r="L65" i="2" s="1"/>
  <c r="L95" i="2" s="1"/>
  <c r="L29" i="2"/>
  <c r="I78" i="2"/>
  <c r="E78" i="2"/>
  <c r="K78" i="2"/>
  <c r="V78" i="2" s="1"/>
  <c r="I32" i="16" s="1"/>
  <c r="M66" i="2"/>
  <c r="I66" i="2"/>
  <c r="G29" i="2"/>
  <c r="U29" i="2" s="1"/>
  <c r="H27" i="16" s="1"/>
  <c r="E29" i="2"/>
  <c r="I29" i="2"/>
  <c r="M29" i="2"/>
  <c r="H29" i="2"/>
  <c r="I10" i="2"/>
  <c r="G52" i="2"/>
  <c r="G70" i="2"/>
  <c r="U70" i="2" s="1"/>
  <c r="G18" i="2"/>
  <c r="U18" i="2" s="1"/>
  <c r="K29" i="2"/>
  <c r="V29" i="2" s="1"/>
  <c r="I27" i="16" s="1"/>
  <c r="H50" i="2" l="1"/>
  <c r="H65" i="2"/>
  <c r="H95" i="2" s="1"/>
  <c r="F65" i="2"/>
  <c r="F95" i="2" s="1"/>
  <c r="G51" i="2"/>
  <c r="U51" i="2" s="1"/>
  <c r="H28" i="16" s="1"/>
  <c r="H34" i="16" s="1"/>
  <c r="U52" i="2"/>
  <c r="K51" i="2"/>
  <c r="V51" i="2" s="1"/>
  <c r="I28" i="16" s="1"/>
  <c r="I34" i="16" s="1"/>
  <c r="V52" i="2"/>
  <c r="E50" i="2"/>
  <c r="E65" i="2"/>
  <c r="E95" i="2" s="1"/>
  <c r="F50" i="2"/>
  <c r="J65" i="2"/>
  <c r="J95" i="2" s="1"/>
  <c r="J50" i="2"/>
  <c r="M50" i="2"/>
  <c r="I65" i="2"/>
  <c r="I95" i="2" s="1"/>
  <c r="D50" i="2"/>
  <c r="I50" i="2"/>
  <c r="M65" i="2"/>
  <c r="M95" i="2" s="1"/>
  <c r="L50" i="2"/>
  <c r="K65" i="2"/>
  <c r="V65" i="2" s="1"/>
  <c r="H62" i="1"/>
  <c r="H48" i="1"/>
  <c r="H26" i="1"/>
  <c r="H20" i="1"/>
  <c r="I62" i="1"/>
  <c r="J62" i="1"/>
  <c r="K62" i="1"/>
  <c r="H59" i="1"/>
  <c r="I59" i="1"/>
  <c r="J59" i="1"/>
  <c r="K59" i="1"/>
  <c r="I48" i="1"/>
  <c r="J48" i="1"/>
  <c r="K48" i="1"/>
  <c r="I26" i="1"/>
  <c r="J26" i="1"/>
  <c r="K26" i="1"/>
  <c r="I20" i="1"/>
  <c r="J20" i="1"/>
  <c r="K20" i="1"/>
  <c r="H13" i="1"/>
  <c r="I13" i="1"/>
  <c r="J13" i="1"/>
  <c r="K13" i="1"/>
  <c r="H10" i="1"/>
  <c r="I10" i="1"/>
  <c r="J10" i="1"/>
  <c r="K10" i="1"/>
  <c r="K16" i="1" s="1"/>
  <c r="K19" i="1" s="1"/>
  <c r="M48" i="1"/>
  <c r="N48" i="1"/>
  <c r="O48" i="1"/>
  <c r="P48" i="1"/>
  <c r="Q48" i="1"/>
  <c r="R48" i="1"/>
  <c r="L48" i="1"/>
  <c r="O62" i="1"/>
  <c r="O59" i="1"/>
  <c r="O20" i="1"/>
  <c r="O26" i="1"/>
  <c r="O13" i="1"/>
  <c r="O10" i="1"/>
  <c r="R62" i="1"/>
  <c r="R59" i="1"/>
  <c r="R26" i="1"/>
  <c r="R20" i="1"/>
  <c r="M62" i="1"/>
  <c r="N62" i="1"/>
  <c r="M59" i="1"/>
  <c r="N59" i="1"/>
  <c r="N26" i="1"/>
  <c r="H16" i="1" l="1"/>
  <c r="I16" i="1"/>
  <c r="I19" i="1" s="1"/>
  <c r="I25" i="1" s="1"/>
  <c r="I39" i="1" s="1"/>
  <c r="I41" i="1" s="1"/>
  <c r="O16" i="1"/>
  <c r="O19" i="1" s="1"/>
  <c r="O25" i="1" s="1"/>
  <c r="O30" i="1" s="1" a="1"/>
  <c r="O30" i="1" s="1"/>
  <c r="O33" i="1" s="1"/>
  <c r="O37" i="1" s="1"/>
  <c r="O58" i="1" s="1"/>
  <c r="K95" i="2"/>
  <c r="V95" i="2" s="1"/>
  <c r="K25" i="1"/>
  <c r="K39" i="1" s="1"/>
  <c r="K41" i="1" s="1"/>
  <c r="J16" i="1"/>
  <c r="J19" i="1" s="1"/>
  <c r="J25" i="1" s="1"/>
  <c r="J39" i="1" s="1"/>
  <c r="J41" i="1" s="1"/>
  <c r="H19" i="1"/>
  <c r="H25" i="1" s="1"/>
  <c r="H39" i="1" s="1"/>
  <c r="H41" i="1" s="1"/>
  <c r="N20" i="1"/>
  <c r="N13" i="1"/>
  <c r="N10" i="1"/>
  <c r="P62" i="1"/>
  <c r="L62" i="1"/>
  <c r="P59" i="1"/>
  <c r="L59" i="1"/>
  <c r="P26" i="1"/>
  <c r="L26" i="1"/>
  <c r="P20" i="1"/>
  <c r="L20" i="1"/>
  <c r="P13" i="1"/>
  <c r="L13" i="1"/>
  <c r="P10" i="1"/>
  <c r="L10" i="1"/>
  <c r="Q62" i="1"/>
  <c r="Q59" i="1"/>
  <c r="M26" i="1"/>
  <c r="Q26" i="1"/>
  <c r="M20" i="1"/>
  <c r="Q20" i="1"/>
  <c r="M13" i="1"/>
  <c r="R13" i="1"/>
  <c r="Q13" i="1"/>
  <c r="Q10" i="1"/>
  <c r="M10" i="1"/>
  <c r="R10" i="1"/>
  <c r="I42" i="1" l="1"/>
  <c r="K42" i="1"/>
  <c r="H42" i="1"/>
  <c r="J42" i="1"/>
  <c r="N16" i="1"/>
  <c r="N19" i="1" s="1"/>
  <c r="N25" i="1" s="1"/>
  <c r="N30" i="1" s="1" a="1"/>
  <c r="N30" i="1" s="1"/>
  <c r="N33" i="1" s="1"/>
  <c r="N37" i="1" s="1"/>
  <c r="N58" i="1" s="1"/>
  <c r="R16" i="1"/>
  <c r="R19" i="1" s="1"/>
  <c r="R25" i="1" s="1"/>
  <c r="R30" i="1" s="1" a="1"/>
  <c r="R30" i="1" s="1"/>
  <c r="R33" i="1" s="1"/>
  <c r="R37" i="1" s="1"/>
  <c r="R58" i="1" s="1"/>
  <c r="L16" i="1"/>
  <c r="L19" i="1" s="1"/>
  <c r="L25" i="1" s="1"/>
  <c r="L30" i="1" s="1" a="1"/>
  <c r="L30" i="1" s="1"/>
  <c r="L33" i="1" s="1"/>
  <c r="L37" i="1" s="1"/>
  <c r="L58" i="1" s="1"/>
  <c r="I30" i="1" a="1"/>
  <c r="I30" i="1" s="1"/>
  <c r="I33" i="1" s="1"/>
  <c r="I37" i="1" s="1"/>
  <c r="I58" i="1" s="1"/>
  <c r="K30" i="1" a="1"/>
  <c r="K30" i="1" s="1"/>
  <c r="K33" i="1" s="1"/>
  <c r="K37" i="1" s="1"/>
  <c r="K58" i="1" s="1"/>
  <c r="J30" i="1" a="1"/>
  <c r="J30" i="1" s="1"/>
  <c r="J33" i="1" s="1"/>
  <c r="J37" i="1" s="1"/>
  <c r="J58" i="1" s="1"/>
  <c r="H30" i="1" a="1"/>
  <c r="H30" i="1" s="1"/>
  <c r="H33" i="1" s="1"/>
  <c r="H37" i="1" s="1"/>
  <c r="H58" i="1" s="1"/>
  <c r="Q16" i="1"/>
  <c r="Q19" i="1" s="1"/>
  <c r="Q25" i="1" s="1"/>
  <c r="Q30" i="1" s="1" a="1"/>
  <c r="Q30" i="1" s="1"/>
  <c r="Q33" i="1" s="1"/>
  <c r="Q37" i="1" s="1"/>
  <c r="Q58" i="1" s="1"/>
  <c r="O39" i="1"/>
  <c r="O41" i="1" s="1"/>
  <c r="P16" i="1"/>
  <c r="P19" i="1" s="1"/>
  <c r="P25" i="1" s="1"/>
  <c r="P39" i="1" s="1"/>
  <c r="M16" i="1"/>
  <c r="M19" i="1" s="1"/>
  <c r="M25" i="1" s="1"/>
  <c r="M39" i="1" s="1"/>
  <c r="M41" i="1" s="1"/>
  <c r="M42" i="1" l="1"/>
  <c r="O42" i="1"/>
  <c r="R39" i="1"/>
  <c r="R41" i="1" s="1"/>
  <c r="L39" i="1"/>
  <c r="Q39" i="1"/>
  <c r="Q41" i="1" s="1"/>
  <c r="M30" i="1" a="1"/>
  <c r="M30" i="1" s="1"/>
  <c r="M33" i="1" s="1"/>
  <c r="M37" i="1" s="1"/>
  <c r="M58" i="1" s="1"/>
  <c r="P30" i="1" a="1"/>
  <c r="P30" i="1" s="1"/>
  <c r="P33" i="1" s="1"/>
  <c r="P37" i="1" s="1"/>
  <c r="P58" i="1" s="1"/>
  <c r="N39" i="1"/>
  <c r="P41" i="1"/>
  <c r="L41" i="1"/>
  <c r="R42" i="1" l="1"/>
  <c r="L42" i="1"/>
  <c r="P42" i="1"/>
  <c r="Q42" i="1"/>
  <c r="N41" i="1"/>
  <c r="G21" i="2"/>
  <c r="K21" i="2"/>
  <c r="V21" i="2" s="1"/>
  <c r="N21" i="2"/>
  <c r="N24" i="2"/>
  <c r="N40" i="2"/>
  <c r="N43" i="2"/>
  <c r="G67" i="2"/>
  <c r="N67" i="2"/>
  <c r="N70" i="2"/>
  <c r="N79" i="2"/>
  <c r="N88" i="2"/>
  <c r="N78" i="2" l="1"/>
  <c r="N42" i="1"/>
  <c r="N29" i="2"/>
  <c r="G66" i="2"/>
  <c r="U67" i="2"/>
  <c r="K10" i="2"/>
  <c r="V10" i="2" s="1"/>
  <c r="I26" i="16" s="1"/>
  <c r="I25" i="16" s="1"/>
  <c r="G10" i="2"/>
  <c r="U10" i="2" s="1"/>
  <c r="H26" i="16" s="1"/>
  <c r="H25" i="16" s="1"/>
  <c r="U21" i="2"/>
  <c r="N10" i="2"/>
  <c r="N66" i="2"/>
  <c r="N65" i="2" s="1"/>
  <c r="N95" i="2" s="1"/>
  <c r="N50" i="2" l="1"/>
  <c r="G65" i="2"/>
  <c r="U66" i="2"/>
  <c r="H31" i="16" s="1"/>
  <c r="K50" i="2"/>
  <c r="V50" i="2" s="1"/>
  <c r="G50" i="2"/>
  <c r="U50" i="2" s="1"/>
  <c r="G95" i="2" l="1"/>
  <c r="U95" i="2" s="1"/>
  <c r="U65" i="2"/>
  <c r="W20" i="14"/>
  <c r="W25" i="14" s="1"/>
  <c r="L21" i="13"/>
  <c r="L20" i="13" l="1"/>
  <c r="L25" i="13"/>
  <c r="W39" i="14"/>
  <c r="W41" i="14" s="1"/>
  <c r="W42" i="14" s="1"/>
  <c r="W30" i="14" a="1"/>
  <c r="W30" i="14" s="1"/>
  <c r="W33" i="14" s="1"/>
  <c r="W37" i="14" s="1"/>
  <c r="W58" i="14" s="1"/>
  <c r="L39" i="13" l="1"/>
  <c r="L30" i="13" a="1"/>
  <c r="L30" i="13" s="1"/>
  <c r="K11" i="16"/>
  <c r="L33" i="13" l="1"/>
  <c r="K13" i="16"/>
  <c r="L41" i="13"/>
  <c r="K12" i="16" l="1"/>
  <c r="L42" i="13"/>
  <c r="L37" i="13"/>
  <c r="L58" i="13" l="1"/>
  <c r="K14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C60" authorId="0" shapeId="0" xr:uid="{3E8D2B23-E024-4860-ADD4-3C6378715330}">
      <text>
        <r>
          <rPr>
            <sz val="8"/>
            <color indexed="81"/>
            <rFont val="Tahoma"/>
            <family val="2"/>
            <charset val="238"/>
          </rPr>
          <t>Wartość zgodna z pozycją bilansową "wynik bieżącego okresu" oraz z ZZwK pozycja "zysk netto za okres"</t>
        </r>
      </text>
    </comment>
    <comment ref="C61" authorId="0" shapeId="0" xr:uid="{F31A7168-6729-434C-A95A-2B4E77D288EC}">
      <text>
        <r>
          <rPr>
            <sz val="8"/>
            <color indexed="81"/>
            <rFont val="Tahoma"/>
            <family val="2"/>
            <charset val="238"/>
          </rPr>
          <t>Wartość zgodna z ZZwK, pozycja"zysk netto za okres" (kolumna "Kapitał mniejszości")</t>
        </r>
      </text>
    </comment>
    <comment ref="C63" authorId="0" shapeId="0" xr:uid="{76432834-7DFF-47D5-B64E-9F40249947AC}">
      <text>
        <r>
          <rPr>
            <sz val="8"/>
            <color indexed="81"/>
            <rFont val="Tahoma"/>
            <family val="2"/>
            <charset val="238"/>
          </rPr>
          <t>Wartość zgodna z pozycją bilansową "wynik bieżącego okresu" oraz z ZZwK pozycja "zysk netto za okres"</t>
        </r>
      </text>
    </comment>
    <comment ref="C64" authorId="0" shapeId="0" xr:uid="{A325D12A-9F4D-497B-A37D-900B2070F739}">
      <text>
        <r>
          <rPr>
            <sz val="8"/>
            <color indexed="81"/>
            <rFont val="Tahoma"/>
            <family val="2"/>
            <charset val="238"/>
          </rPr>
          <t>Wartość zgodna z ZZwK, pozycja"zysk netto za okres" (kolumna "Kapitał mniejszości")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<sst xmlns="http://schemas.openxmlformats.org/spreadsheetml/2006/main" count="1668" uniqueCount="313">
  <si>
    <t>Przychody ze sprzedaży dóbr i usług</t>
  </si>
  <si>
    <t xml:space="preserve"> - jednostkom powiązanym</t>
  </si>
  <si>
    <t xml:space="preserve"> - pozostałym jednostkom</t>
  </si>
  <si>
    <t>Zysk (strata) brutto ze sprzedaży</t>
  </si>
  <si>
    <t>Koszty sprzedaży</t>
  </si>
  <si>
    <t>Koszty ogólnego zarządu</t>
  </si>
  <si>
    <t>Zysk (strata) ze sprzedaży</t>
  </si>
  <si>
    <t>Udział w zyskach jednostek objętych konsolidacją metodą praw własności</t>
  </si>
  <si>
    <t>Zysk (strata) z działalności operacyjnej</t>
  </si>
  <si>
    <t>Zysk (strata) przed opodatkowaniem</t>
  </si>
  <si>
    <t>Bieżący podatek dochodowy</t>
  </si>
  <si>
    <t>Odroczony podatek dochodowy</t>
  </si>
  <si>
    <t>Zysk (strata) netto z działalności kontynuowanej</t>
  </si>
  <si>
    <t>Działalność zaniechana</t>
  </si>
  <si>
    <t>Zysk (strata) netto z działalności zaniechanej</t>
  </si>
  <si>
    <t>Działalność kontynuowana i zaniechana</t>
  </si>
  <si>
    <t>Zysk (strata) netto</t>
  </si>
  <si>
    <t>Różnice kursowe z przeliczenia jednostek zagranicznych</t>
  </si>
  <si>
    <t>Wynik na rachunkowości zabezpieczeń wraz z efektem podatkowym</t>
  </si>
  <si>
    <t>Całkowite dochody ogółem</t>
  </si>
  <si>
    <t>Zysk (strata) netto, z tego przypadający:</t>
  </si>
  <si>
    <t>Całkowite dochody ogółem, z tego przypadające:</t>
  </si>
  <si>
    <t>Amortyzacja</t>
  </si>
  <si>
    <t>EBITDA</t>
  </si>
  <si>
    <t>30.09.2020</t>
  </si>
  <si>
    <t>30.09.2019</t>
  </si>
  <si>
    <t>Działalność kontynuowana</t>
  </si>
  <si>
    <t>Przychody (koszty) restrukturyzacji</t>
  </si>
  <si>
    <t>Objęcie kontroli nad jednostką zależną (ujemna wartość firmy)</t>
  </si>
  <si>
    <t>Skutki wyceny aktywów finansowych dostępnych do sprzedaży</t>
  </si>
  <si>
    <t>Skutki aktualizacji majątku trwałego</t>
  </si>
  <si>
    <t>Udział w innych całkowitych dochodach jednostek stowarzyszonych</t>
  </si>
  <si>
    <t>Podatek dochodowy dotyczący innych całkowitych dochodów</t>
  </si>
  <si>
    <t>Koszt własny sprzedaży</t>
  </si>
  <si>
    <t>Wynik na pozostałej działalności operacyjnej, w tym:</t>
  </si>
  <si>
    <t>Przychody</t>
  </si>
  <si>
    <t>Koszty</t>
  </si>
  <si>
    <t>Wynik na działalności finansowej, w tym:</t>
  </si>
  <si>
    <t>Inne całkowite dochody / (koszty)</t>
  </si>
  <si>
    <t>Inne całkowite dochody / (koszty) netto</t>
  </si>
  <si>
    <t>Pozycje, które mogą w przyszłości być przeklasyfikowane do wyniku finansowego:</t>
  </si>
  <si>
    <t>Pozycje, które w przyszłości nie będą przeklasyfikowane do wyniku finansowego:</t>
  </si>
  <si>
    <t>Zyski i straty aktuarialne</t>
  </si>
  <si>
    <t>akcjonariuszom spółki</t>
  </si>
  <si>
    <t>akcjonariuszom niesprawującym kontroli</t>
  </si>
  <si>
    <t>31.03.2020</t>
  </si>
  <si>
    <t>31.03.2019</t>
  </si>
  <si>
    <t>31.12.2019</t>
  </si>
  <si>
    <t>31.03.2018</t>
  </si>
  <si>
    <t>30.09.2018</t>
  </si>
  <si>
    <t>31.12.2018</t>
  </si>
  <si>
    <t>01.01.2017</t>
  </si>
  <si>
    <t>od 01.04.2017</t>
  </si>
  <si>
    <t>01.07.2017</t>
  </si>
  <si>
    <t>01.10.2017</t>
  </si>
  <si>
    <t xml:space="preserve"> - od jednostek powiązanych</t>
  </si>
  <si>
    <t xml:space="preserve"> - od pozostałych jednostek</t>
  </si>
  <si>
    <t>31.12.2020</t>
  </si>
  <si>
    <t>SPRAWOZDANIE Z SYTUACJI FINANSOWEJ</t>
  </si>
  <si>
    <t>WYSZCZEGÓLNIENIE</t>
  </si>
  <si>
    <t>Aktywa trwałe</t>
  </si>
  <si>
    <t>Wartości niematerialne</t>
  </si>
  <si>
    <t>Wartość firmy jednostek zależnych</t>
  </si>
  <si>
    <t>Rzeczowe aktywa trwałe</t>
  </si>
  <si>
    <t>Prawo do użytkowania aktywów</t>
  </si>
  <si>
    <t>Aktywo kontraktowe</t>
  </si>
  <si>
    <t>Nieruchomości inwestycyjne</t>
  </si>
  <si>
    <t>Inwestycje w jednostkach współkontrolowanych konsolidowane metodą praw własności</t>
  </si>
  <si>
    <t>Pozostałe długoterminowe aktywa finansowe</t>
  </si>
  <si>
    <t xml:space="preserve"> - w jednostkach powiązanych</t>
  </si>
  <si>
    <t xml:space="preserve"> - w pozostałych jednostkach</t>
  </si>
  <si>
    <t>Udzielone pożyczki długoterminowe</t>
  </si>
  <si>
    <t>Należności długoterminowe</t>
  </si>
  <si>
    <t>Długoterminowe rozliczenia międzyokresowe</t>
  </si>
  <si>
    <t>Aktywa z tytułu odroczonego podatku dochodowego</t>
  </si>
  <si>
    <t>Aktywa obrotowe</t>
  </si>
  <si>
    <t>Zapasy</t>
  </si>
  <si>
    <t>Należności handlowe</t>
  </si>
  <si>
    <t>Należności z tytułu podatku dochodowego od osób prawnych</t>
  </si>
  <si>
    <t>Należności z tytułu innych podatków, ceł i ubezpieczeń społecznych</t>
  </si>
  <si>
    <t>Pozostałe należności krótkoterminowe</t>
  </si>
  <si>
    <t>Pozostałe krótkoterminowe aktywa finansowe</t>
  </si>
  <si>
    <t>Udzielone pożyczki krótkoterminowe</t>
  </si>
  <si>
    <t>Środki pieniężne i ich ekwiwalenty</t>
  </si>
  <si>
    <t>Środki pieniężne o ograniczonym sposobie dysponowania</t>
  </si>
  <si>
    <t>Krótkoterminowe rozliczenia międzyokresowe</t>
  </si>
  <si>
    <t>Aktywa trwałe zaklasyfikowane jako przeznaczone do sprzedaży</t>
  </si>
  <si>
    <t>AKTYWA RAZEM</t>
  </si>
  <si>
    <t>Kapitał własny</t>
  </si>
  <si>
    <t>Kapitał własny przypadający akcjonariuszom jednostki dominującej</t>
  </si>
  <si>
    <t>Kapitał podstawowy</t>
  </si>
  <si>
    <t>Pozostałe kapitały</t>
  </si>
  <si>
    <t>Kapitał z przeszacowania programu określonych świadczeń</t>
  </si>
  <si>
    <t>Kapitał z wyceny transakcji zabezpieczających oraz różnice kursowe z konsolidacji</t>
  </si>
  <si>
    <t>Ujęte bezpośrednio w kapitale kwoty dotyczące aktywów trwałych przeznaczonych do sprzedaży</t>
  </si>
  <si>
    <t>Niepodzielony wynik finansowy</t>
  </si>
  <si>
    <t xml:space="preserve"> - niepodzielony wynik z lat ubiegłych</t>
  </si>
  <si>
    <t xml:space="preserve"> - wynik bieżącego okresu</t>
  </si>
  <si>
    <t xml:space="preserve"> - odpisy z wyniku bieżącego roku</t>
  </si>
  <si>
    <t>Udziały niesprawujące kontroli</t>
  </si>
  <si>
    <t>Zobowiązania</t>
  </si>
  <si>
    <t>Zobowiązania i rezerwy długoterminowe</t>
  </si>
  <si>
    <t>Długoterminowe kredyty i pożyczki</t>
  </si>
  <si>
    <t>Pozostałe zobowiązania długoterminowe</t>
  </si>
  <si>
    <t xml:space="preserve"> - wobec jednostek powiązanych</t>
  </si>
  <si>
    <t xml:space="preserve"> - wobec pozostałych jednostek</t>
  </si>
  <si>
    <t>Zobowiązania kontraktowe</t>
  </si>
  <si>
    <t>Zobowiązania długoterminowe z tytułu prawa do użytkowania aktywów</t>
  </si>
  <si>
    <t>Rezerwa z tytułu odroczonego podatku dochodowego</t>
  </si>
  <si>
    <t>Długoterminowe zobowiązania z tytułu świadczeń pracowniczych</t>
  </si>
  <si>
    <t>Pozostałe rezerwy długoterminowe</t>
  </si>
  <si>
    <t>Zobowiązania i rezerwy krótkoterminowe</t>
  </si>
  <si>
    <t>Krótkoterminowe kredyty i pożyczki</t>
  </si>
  <si>
    <t>Zobowiązania handlowe</t>
  </si>
  <si>
    <t>Zobowiązania z tytułu podatku dochodowego od osób prawnych</t>
  </si>
  <si>
    <t>Zobowiązania z tytułu innych podatków, ceł i ubezpieczeń społecznych</t>
  </si>
  <si>
    <t>Pozostałe zobowiązania krótkoterminowe</t>
  </si>
  <si>
    <t>Zobowiązania krótkoterminowe z tytułu prawa do użytkowania aktywów</t>
  </si>
  <si>
    <t>Krótkoterminowe zobowiązania z tytułu świadczeń pracowniczych</t>
  </si>
  <si>
    <t>Pozostałe rezerwy krótkoterminowe</t>
  </si>
  <si>
    <t>Zobowiązania związane z aktywami trwałymi zaklasyfikowanymi jako przeznaczone do sprzedaży</t>
  </si>
  <si>
    <t>PASYWA RAZEM</t>
  </si>
  <si>
    <t>za okres</t>
  </si>
  <si>
    <t>30.06.2018</t>
  </si>
  <si>
    <t>30.06.2019</t>
  </si>
  <si>
    <t>30.06.2020</t>
  </si>
  <si>
    <t>RACHUNEK PRZEPŁYWÓW PIENIĘŻNYCH - METODA POŚREDNIA</t>
  </si>
  <si>
    <t>Przepływy środków pieniężnych z działalności operacyjnej</t>
  </si>
  <si>
    <t xml:space="preserve">Zysk przed opodatkowaniem </t>
  </si>
  <si>
    <t>Korekty</t>
  </si>
  <si>
    <t>Amortyzacja wartości niematerialnych</t>
  </si>
  <si>
    <t>Odpisy aktualizujące z tytułu utraty wartości firmy</t>
  </si>
  <si>
    <t>Amortyzacja rzeczowych aktywów trwałych</t>
  </si>
  <si>
    <t>Odpisy aktualizujące z tytułu utraty rzeczowych aktywów trwałych i wartości niematerialnych</t>
  </si>
  <si>
    <t>(Zysk) strata na sprzedaży rzeczowych aktywów trwałych i wartości niematerialnych</t>
  </si>
  <si>
    <t>(Zysk) strata na sprzedaży aktywów finansowych dostępnych do sprzedaży</t>
  </si>
  <si>
    <t>(Zyski) straty z wyceny nieruchomosci inwestycyjnych według wartości godziwej</t>
  </si>
  <si>
    <t>(Zyski) straty z tytułu zmiany wartości godziwej instrumentów pochodnych</t>
  </si>
  <si>
    <t>Koszty odsetek</t>
  </si>
  <si>
    <t>Udziały w (zyskach) stratach jednostek stowarzyszonych</t>
  </si>
  <si>
    <t>Przychody z tytułu odsetek</t>
  </si>
  <si>
    <t>Przychody z tytułu dywidend</t>
  </si>
  <si>
    <t>(Dodatnie) ujemne różnice kursowe</t>
  </si>
  <si>
    <t>(Zysk) strata ze zbycia akcji własnych</t>
  </si>
  <si>
    <t>Inne korekty</t>
  </si>
  <si>
    <t>Środki pieniężne z działalności operacyjnej przed uwzględnieniem zmian w kapitale obrotowym</t>
  </si>
  <si>
    <t>Zmiana stanu zapasów</t>
  </si>
  <si>
    <t>Zmiana stanu amortyzowanego aktywa kontraktowego</t>
  </si>
  <si>
    <t>Zmiana stanu należności</t>
  </si>
  <si>
    <t>Zmiana stanu zobowiązań</t>
  </si>
  <si>
    <t>Zmiana stanu rezerw</t>
  </si>
  <si>
    <t>Zmiana stanu środków pieniężnych o ograniczonym sposobie dysponowania</t>
  </si>
  <si>
    <t>Zmiana stanu rozliczeń międzyokresowych</t>
  </si>
  <si>
    <t>Środki pieniężne wygenerowane w toku działalności operacyjnej</t>
  </si>
  <si>
    <t>Zapłacone odsetki</t>
  </si>
  <si>
    <t>Zapłacony podatek dochodowy</t>
  </si>
  <si>
    <t>Środki pieniężne netto z działalności operacyjnej</t>
  </si>
  <si>
    <t>Przepływy środków pieniężnych z działalności inwestycyjnej</t>
  </si>
  <si>
    <t>Wydatki na nabycie wartości niematerialnych</t>
  </si>
  <si>
    <t>Wpływy ze sprzedaży wartości niematerialnych</t>
  </si>
  <si>
    <t>Wydatki na nabycie rzeczowych aktywów trwałych</t>
  </si>
  <si>
    <t>Wpływy ze sprzedaży rzeczowych aktywów trwałych</t>
  </si>
  <si>
    <t>Wydatki na nabycie nieruchomości inwestycyjnych</t>
  </si>
  <si>
    <t>Wpływy ze sprzedaży nieruchomości inwestycyjnych</t>
  </si>
  <si>
    <t>Wydatki na nabycie aktywów finansowych dostępnych do sprzedaży</t>
  </si>
  <si>
    <t>Wpływy ze sprzedaży aktywów finansowych dostępnych do sprzedaży</t>
  </si>
  <si>
    <t>Wydatki na nabycie aktywów finansowych przeznaczonych do obrotu</t>
  </si>
  <si>
    <t>Wpływy ze sprzedaży aktywów finansowych przeznaczonych do obrotu</t>
  </si>
  <si>
    <t>Inwestycje w jednostki zależne</t>
  </si>
  <si>
    <t>Wpływy ze sprzedaży jednostek zależnych</t>
  </si>
  <si>
    <t>Pożyczki udzielone</t>
  </si>
  <si>
    <t>Otrzymane spłaty pożyczek udzielonych</t>
  </si>
  <si>
    <t>Otrzymane odsetki</t>
  </si>
  <si>
    <t>Otrzymane dywidendy</t>
  </si>
  <si>
    <t>Inne wpływy (wydatki)</t>
  </si>
  <si>
    <t>Środki pieniężne netto wykorzystane z działalności inwestycyjnej</t>
  </si>
  <si>
    <t>Przepływy środków pieniężnych z działalności finansowej</t>
  </si>
  <si>
    <t>Wpływy netto z tytułu emisji akcji</t>
  </si>
  <si>
    <t>Nabycie akcji własnych</t>
  </si>
  <si>
    <t>Wpływy z tytułu zbycia akcji własnych</t>
  </si>
  <si>
    <t>Wpływy z tytułu emisji dłużnych papierów wartościowych</t>
  </si>
  <si>
    <t>Wykup dłużnych papierów wartościowych</t>
  </si>
  <si>
    <t>Wpływy z tytułu zaciągnięcia kredytów i pożyczek</t>
  </si>
  <si>
    <t>Spłaty kredytów i pożyczek</t>
  </si>
  <si>
    <t>Odsetki</t>
  </si>
  <si>
    <t>Dywidendy wypłacone</t>
  </si>
  <si>
    <t>Spłata zobowiązań z tytułu leasingu finansowego</t>
  </si>
  <si>
    <t>Środki pieniężne netto z działalności finansowej</t>
  </si>
  <si>
    <t>Zwiększenie (zmniejszenie) netto stanu środków pieniężnych i ekwiwalentów środków pieniężnych</t>
  </si>
  <si>
    <t>Zmiana stanu środków pieniężnych i ich ekwiwalentów z tytułu różnic kursowych</t>
  </si>
  <si>
    <t>Środki pieniężne i ich ekwiwalenty na początek okresu</t>
  </si>
  <si>
    <t>Różnice kursowe</t>
  </si>
  <si>
    <t>Środki pieniężne i ich ekwiwalenty na koniec okresu</t>
  </si>
  <si>
    <t>Wpływy z otrzymanych dotacji rządowych</t>
  </si>
  <si>
    <t>NOTA NR 1</t>
  </si>
  <si>
    <t>TABELA NR 1.1</t>
  </si>
  <si>
    <t>Energia elektryczna</t>
  </si>
  <si>
    <t>Gaz</t>
  </si>
  <si>
    <t>Woda i Ciepło</t>
  </si>
  <si>
    <t>Niealokowane</t>
  </si>
  <si>
    <t>Razem</t>
  </si>
  <si>
    <t>DZIAŁALNOŚĆ ZANIECHANA</t>
  </si>
  <si>
    <t>OGÓŁEM</t>
  </si>
  <si>
    <t>Wyniki finansowe segmentów operacyjnych za okres od 01.01.2019 do 31.03.2019</t>
  </si>
  <si>
    <t>Przychody ze sprzedaży</t>
  </si>
  <si>
    <t>Zysk brutto ze sprzedaży</t>
  </si>
  <si>
    <t>Zysk ze sprzedaży</t>
  </si>
  <si>
    <t>Pozostałe przychody (koszty) operacyjne</t>
  </si>
  <si>
    <t>Udział w zyskach spółek stowarzyszonych</t>
  </si>
  <si>
    <t>Zysk z działalności operacyjnej</t>
  </si>
  <si>
    <t>Wyniki finansowe segmentów operacyjnych za okres od 01.01.2018 do 31.03.2018</t>
  </si>
  <si>
    <t>Wyniki finansowe segmentów operacyjnych za okres od 01.01.2019 do 30.06.2019</t>
  </si>
  <si>
    <t>Wyniki finansowe segmentów operacyjnych za okres od 01.04.2019 do 30.06.2019</t>
  </si>
  <si>
    <t>Wyniki finansowe segmentów operacyjnych za okres od 01.01.2018 do 30.06.2018</t>
  </si>
  <si>
    <t>Wyniki finansowe segmentów operacyjnych za okres od 01.04.2018 do 30.06.2018</t>
  </si>
  <si>
    <t>Wyniki finansowe segmentów operacyjnych za okres od 01.01.2019 do 30.09.2019</t>
  </si>
  <si>
    <t>Wyniki finansowe segmentów operacyjnych za okres od 01.07.2019 do 30.09.2019</t>
  </si>
  <si>
    <t>Wyniki finansowe segmentów operacyjnych za okres od 01.01.2018 do 30.09.2018</t>
  </si>
  <si>
    <t>Wyniki finansowe segmentów operacyjnych za okres od 01.07.2018 do 30.09.2018</t>
  </si>
  <si>
    <t>Wyniki finansowe segmentów operacyjnych za okres od 01.01.2019 do 31.12.2019</t>
  </si>
  <si>
    <t>Wyniki finansowe segmentów operacyjnych za okres od 01.10.2019 do 31.12.2019</t>
  </si>
  <si>
    <t>Wyniki finansowe segmentów operacyjnych za okres od 01.01.2018 do 31.12.2018</t>
  </si>
  <si>
    <t>Wyniki finansowe segmentów operacyjnych za okres od 01.10.2018 do 31.12.2018</t>
  </si>
  <si>
    <t>Wyniki finansowe segmentów operacyjnych za okres od 01.01.2020 do 31.03.2020</t>
  </si>
  <si>
    <t>Wyniki finansowe segmentów operacyjnych za okres od 01.01.2020 do 30.06.2020</t>
  </si>
  <si>
    <t>Wyniki finansowe segmentów operacyjnych za okres od 01.04.2020 do 30.06.2020</t>
  </si>
  <si>
    <t>Wyniki finansowe segmentów operacyjnych za okres od 01.01.2020 do 30.09.2020</t>
  </si>
  <si>
    <t>Wyniki finansowe segmentów operacyjnych za okres od 01.07.2020 do 30.09.2020</t>
  </si>
  <si>
    <t>Wyniki finansowe segmentów operacyjnych za okres od 01.01.2020 do 31.12.2020</t>
  </si>
  <si>
    <t>Wyniki finansowe segmentów operacyjnych za okres od 01.10.2020 do 31.12.2020</t>
  </si>
  <si>
    <t>EBITDA %</t>
  </si>
  <si>
    <t>oddzielnie dla każdego segmentu</t>
  </si>
  <si>
    <t>WYNIKI FINANSOWE WEDŁUG SEGMNTÓW OPERACYJNYCH 2018</t>
  </si>
  <si>
    <t>WYNIKI FINANSOWE WEDŁUG SEGMNTÓW OPERACYJNYCH 2019</t>
  </si>
  <si>
    <t>WYNIKI FINANSOWE WEDŁUG SEGMNTÓW OPERACYJNYCH 2020</t>
  </si>
  <si>
    <t>1Q2018</t>
  </si>
  <si>
    <t>2Q2018</t>
  </si>
  <si>
    <t>3Q2018</t>
  </si>
  <si>
    <t>4Q2018</t>
  </si>
  <si>
    <t>1Q2019</t>
  </si>
  <si>
    <t>2Q2019</t>
  </si>
  <si>
    <t>3Q2019</t>
  </si>
  <si>
    <t>4Q2019</t>
  </si>
  <si>
    <t>1Q2020</t>
  </si>
  <si>
    <t>2Q2020</t>
  </si>
  <si>
    <t>3Q2020</t>
  </si>
  <si>
    <t>4Q2020</t>
  </si>
  <si>
    <t>1-2Q2018</t>
  </si>
  <si>
    <t>1-3Q2018</t>
  </si>
  <si>
    <t>1-4Q2018</t>
  </si>
  <si>
    <t>1-2Q2019</t>
  </si>
  <si>
    <t>1-3Q2019</t>
  </si>
  <si>
    <t>1-4Q2019</t>
  </si>
  <si>
    <t>1-2Q2020</t>
  </si>
  <si>
    <t>1-3Q2020</t>
  </si>
  <si>
    <t>1-4Q2020</t>
  </si>
  <si>
    <t>Zysk/(strata) na jedną akcję (w złotych)</t>
  </si>
  <si>
    <t xml:space="preserve">dla 2018 EBITDA% liczona do przychodów z działalności kontynuowanej </t>
  </si>
  <si>
    <t>WYNIKI FINANSOWE SEGMENTU EE</t>
  </si>
  <si>
    <t>WYNIKI FINANSOWE SEGMENTU GAZ</t>
  </si>
  <si>
    <t>WYNIKI FINANSOWE SEGMENTU WODA I CIEPŁO</t>
  </si>
  <si>
    <t>Liczniki EE</t>
  </si>
  <si>
    <t>Aparatura Łączeniowa</t>
  </si>
  <si>
    <t>ICT</t>
  </si>
  <si>
    <t>Aparatura Górnicza</t>
  </si>
  <si>
    <t>SSN</t>
  </si>
  <si>
    <t>RAZEM SEGMENT EE</t>
  </si>
  <si>
    <t>Zysk/(strata) na jedną akcję (w złotych) raportowany</t>
  </si>
  <si>
    <t>PRZYCHODY ZE SPRZEDAŻY WG LINII BIZNESOWYCH</t>
  </si>
  <si>
    <t>SPRAWOZDANIE Z CAŁKOWITYCH DOCHODÓW - WARIANT KALKULACYJNY - DANE KWARTALNE</t>
  </si>
  <si>
    <t>SPRAWOZDANIE Z CAŁKOWITYCH DOCHODÓW - WARIANT KALKULACYJNY - DANE ROCZNE</t>
  </si>
  <si>
    <t>na koniec okresu</t>
  </si>
  <si>
    <t>liczba akcji z raportów okresowych (narastająco)</t>
  </si>
  <si>
    <t>liczba akcji kwartalnie</t>
  </si>
  <si>
    <t>Przychody ze sprzedaży produktów, towarów i materiałów</t>
  </si>
  <si>
    <t>Zysk (strata) brutto</t>
  </si>
  <si>
    <t>Zysk (strata) netto przypadająca akcjonariuszom jednostki dominującej Grupy</t>
  </si>
  <si>
    <t>Zysk (strata) netto przypadająca udziałom niesprawującym kontroli</t>
  </si>
  <si>
    <t>Średnia ważona ilość akcji</t>
  </si>
  <si>
    <t>Przepływy pieniężne z działalności operacyjnej</t>
  </si>
  <si>
    <t>Przepływy pieniężne z działalności inwestycyjnej</t>
  </si>
  <si>
    <t>Przepływy pieniężne z działalności finansowej</t>
  </si>
  <si>
    <t>Przepływy pieniężne razem</t>
  </si>
  <si>
    <t>Aktywa razem</t>
  </si>
  <si>
    <t>Kapitał własny z udziałami niesprawującymi kontroli</t>
  </si>
  <si>
    <t>Kapitał akcyjny</t>
  </si>
  <si>
    <t>Wartość księgowa netto na jedną akcję zwykłą [zł/ akcję]</t>
  </si>
  <si>
    <t>GŁÓWNE DANE FINANSOWE - DANE ROCZNE</t>
  </si>
  <si>
    <t>Zysk (strata) netto na jedną akcję zwykłą (w złotych)</t>
  </si>
  <si>
    <t>*) Zaprezentowane dane finansowe będą aktualizowane każdorazowo po publikacji aktualnego raportu okresowego, w szczególności dane z raportu rocznego będą zastępowały wcześniejsze dane z raportu za 4Q, a w przypadku ewentualnych przekształceń wcześniej opublikowanych danych z przeszłych okresów, nowo publikowane dane (przekształcone) będą zastępowały dane pierwotnie opublikowane (nieprzekształcone)</t>
  </si>
  <si>
    <t>2. Sprawozdanie z całkowitych dochodów</t>
  </si>
  <si>
    <t>3. Sprawozdanie z sytuacji finansowej</t>
  </si>
  <si>
    <t>4. Rachunek przepływów pieniężnych</t>
  </si>
  <si>
    <t xml:space="preserve">5. Wyniki finansowe wg segmentów operacyjnych </t>
  </si>
  <si>
    <t>5.1 Energia Elektryczna</t>
  </si>
  <si>
    <t>5.2 Gaz</t>
  </si>
  <si>
    <t>5.3 Woda i Ciepło</t>
  </si>
  <si>
    <t>1. Podsumowanie</t>
  </si>
  <si>
    <t>`</t>
  </si>
  <si>
    <t>1Q2021</t>
  </si>
  <si>
    <t>31.03.2021</t>
  </si>
  <si>
    <t>2Q2021</t>
  </si>
  <si>
    <t>30.06.2021</t>
  </si>
  <si>
    <t>1-2Q2021</t>
  </si>
  <si>
    <t>Zwrot podatku</t>
  </si>
  <si>
    <t>3Q2021</t>
  </si>
  <si>
    <t>30.09.2021</t>
  </si>
  <si>
    <t>Niezarejestrowane obniżenie kapitału podstawowego</t>
  </si>
  <si>
    <t>Akcje własne</t>
  </si>
  <si>
    <t>1-3Q2021</t>
  </si>
  <si>
    <t>4Q2021</t>
  </si>
  <si>
    <t>31.12.2021</t>
  </si>
  <si>
    <t>1-4Q2021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</si>
</sst>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_ ;[Red]\-#,##0\ "/>
    <numFmt numFmtId="165" formatCode="#,##0.00_);\(#,##0.00\);\-______"/>
    <numFmt numFmtId="166" formatCode="#,##0_);\(#,##0\);\-______"/>
    <numFmt numFmtId="167" formatCode="#,##0.00_ ;[Red]\-#,##0.00\ "/>
    <numFmt numFmtId="168" formatCode="#,##0_ ;\-#,##0\ "/>
    <numFmt numFmtId="169" formatCode="0.0%"/>
    <numFmt numFmtId="170" formatCode="#,##0.0000_ ;[Red]\-#,##0.0000\ "/>
    <numFmt numFmtId="171" formatCode="#,##0.000_ ;[Red]\-#,##0.000\ "/>
  </numFmts>
  <fonts count="24" x14ac:knownFonts="1">
    <font>
      <sz val="10"/>
      <name val="Arial"/>
      <charset val="238"/>
    </font>
    <font>
      <sz val="7"/>
      <name val="Arial"/>
      <family val="2"/>
      <charset val="238"/>
    </font>
    <font>
      <sz val="10"/>
      <name val="Arial CE"/>
      <charset val="238"/>
    </font>
    <font>
      <b/>
      <sz val="7"/>
      <name val="Arial"/>
      <family val="2"/>
      <charset val="238"/>
    </font>
    <font>
      <b/>
      <i/>
      <sz val="7"/>
      <name val="Arial"/>
      <family val="2"/>
      <charset val="238"/>
    </font>
    <font>
      <i/>
      <sz val="7"/>
      <name val="Arial"/>
      <family val="2"/>
      <charset val="238"/>
    </font>
    <font>
      <sz val="8"/>
      <color indexed="81"/>
      <name val="Tahoma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7"/>
      <name val="Arial"/>
      <family val="2"/>
    </font>
    <font>
      <b/>
      <sz val="7"/>
      <name val="Arial"/>
      <family val="2"/>
    </font>
    <font>
      <i/>
      <sz val="7"/>
      <name val="Arial"/>
      <family val="2"/>
    </font>
    <font>
      <b/>
      <sz val="7"/>
      <color indexed="9"/>
      <name val="Arial"/>
      <family val="2"/>
      <charset val="238"/>
    </font>
    <font>
      <sz val="9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b/>
      <sz val="7"/>
      <color theme="4" tint="-0.499984740745262"/>
      <name val="Arial"/>
      <family val="2"/>
      <charset val="238"/>
    </font>
    <font>
      <sz val="7"/>
      <color theme="4" tint="-0.499984740745262"/>
      <name val="Arial"/>
      <family val="2"/>
      <charset val="238"/>
    </font>
    <font>
      <b/>
      <sz val="7"/>
      <color theme="4" tint="-0.499984740745262"/>
      <name val="Arial"/>
      <family val="2"/>
    </font>
    <font>
      <i/>
      <sz val="7"/>
      <color rgb="FFFF0000"/>
      <name val="Arial"/>
      <family val="2"/>
      <charset val="238"/>
    </font>
    <font>
      <sz val="12"/>
      <color theme="4" tint="-0.499984740745262"/>
      <name val="Arial"/>
      <family val="2"/>
      <charset val="238"/>
    </font>
    <font>
      <sz val="12"/>
      <name val="Arial"/>
      <family val="2"/>
      <charset val="238"/>
    </font>
    <font>
      <sz val="9"/>
      <color rgb="FF333333"/>
      <name val="Times New Roman"/>
      <family val="1"/>
      <charset val="238"/>
    </font>
    <font>
      <i/>
      <sz val="8"/>
      <color theme="4" tint="-0.499984740745262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7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</cellStyleXfs>
  <cellXfs count="260">
    <xf numFmtId="0" fontId="0" fillId="0" borderId="0" xfId="0"/>
    <xf numFmtId="164" fontId="1" fillId="0" borderId="0" xfId="0" applyNumberFormat="1" applyFont="1" applyFill="1" applyAlignment="1">
      <alignment vertical="center"/>
    </xf>
    <xf numFmtId="164" fontId="1" fillId="0" borderId="0" xfId="0" applyNumberFormat="1" applyFont="1" applyFill="1" applyAlignment="1">
      <alignment vertical="center" wrapText="1"/>
    </xf>
    <xf numFmtId="164" fontId="1" fillId="0" borderId="0" xfId="0" applyNumberFormat="1" applyFont="1" applyFill="1" applyAlignment="1" applyProtection="1">
      <alignment vertical="center"/>
      <protection locked="0"/>
    </xf>
    <xf numFmtId="164" fontId="3" fillId="0" borderId="8" xfId="0" applyNumberFormat="1" applyFont="1" applyFill="1" applyBorder="1" applyAlignment="1" applyProtection="1">
      <alignment horizontal="center" vertical="center"/>
      <protection hidden="1"/>
    </xf>
    <xf numFmtId="165" fontId="1" fillId="0" borderId="4" xfId="0" applyNumberFormat="1" applyFont="1" applyFill="1" applyBorder="1" applyAlignment="1" applyProtection="1">
      <alignment horizontal="left" vertical="center"/>
      <protection locked="0"/>
    </xf>
    <xf numFmtId="165" fontId="1" fillId="0" borderId="0" xfId="0" applyNumberFormat="1" applyFont="1" applyFill="1" applyAlignment="1" applyProtection="1">
      <alignment vertical="center"/>
      <protection locked="0"/>
    </xf>
    <xf numFmtId="166" fontId="3" fillId="0" borderId="12" xfId="0" applyNumberFormat="1" applyFont="1" applyFill="1" applyBorder="1" applyAlignment="1" applyProtection="1">
      <alignment vertical="center"/>
      <protection locked="0"/>
    </xf>
    <xf numFmtId="166" fontId="1" fillId="0" borderId="0" xfId="0" applyNumberFormat="1" applyFont="1" applyFill="1" applyAlignment="1" applyProtection="1">
      <alignment vertical="center"/>
      <protection locked="0"/>
    </xf>
    <xf numFmtId="166" fontId="5" fillId="0" borderId="3" xfId="0" applyNumberFormat="1" applyFont="1" applyFill="1" applyBorder="1" applyAlignment="1" applyProtection="1">
      <alignment vertical="center"/>
      <protection locked="0"/>
    </xf>
    <xf numFmtId="166" fontId="5" fillId="0" borderId="12" xfId="0" applyNumberFormat="1" applyFont="1" applyFill="1" applyBorder="1" applyAlignment="1" applyProtection="1">
      <alignment vertical="center"/>
      <protection locked="0"/>
    </xf>
    <xf numFmtId="164" fontId="1" fillId="0" borderId="3" xfId="0" applyNumberFormat="1" applyFont="1" applyFill="1" applyBorder="1" applyAlignment="1">
      <alignment vertical="center"/>
    </xf>
    <xf numFmtId="164" fontId="1" fillId="0" borderId="5" xfId="0" applyNumberFormat="1" applyFont="1" applyFill="1" applyBorder="1" applyAlignment="1">
      <alignment vertical="center" wrapText="1"/>
    </xf>
    <xf numFmtId="166" fontId="1" fillId="0" borderId="3" xfId="0" applyNumberFormat="1" applyFont="1" applyFill="1" applyBorder="1" applyAlignment="1" applyProtection="1">
      <alignment vertical="center"/>
      <protection locked="0"/>
    </xf>
    <xf numFmtId="166" fontId="1" fillId="0" borderId="12" xfId="0" applyNumberFormat="1" applyFont="1" applyFill="1" applyBorder="1" applyAlignment="1" applyProtection="1">
      <alignment vertical="center"/>
      <protection locked="0"/>
    </xf>
    <xf numFmtId="164" fontId="3" fillId="0" borderId="0" xfId="0" applyNumberFormat="1" applyFont="1" applyFill="1" applyAlignment="1" applyProtection="1">
      <alignment vertical="center"/>
      <protection locked="0"/>
    </xf>
    <xf numFmtId="164" fontId="1" fillId="0" borderId="0" xfId="0" applyNumberFormat="1" applyFont="1" applyFill="1" applyAlignment="1" applyProtection="1">
      <alignment vertical="center" wrapText="1"/>
      <protection locked="0"/>
    </xf>
    <xf numFmtId="164" fontId="3" fillId="0" borderId="4" xfId="1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vertical="center" wrapText="1"/>
    </xf>
    <xf numFmtId="166" fontId="4" fillId="0" borderId="3" xfId="0" applyNumberFormat="1" applyFont="1" applyFill="1" applyBorder="1" applyAlignment="1" applyProtection="1">
      <alignment vertical="center"/>
      <protection locked="0"/>
    </xf>
    <xf numFmtId="164" fontId="3" fillId="0" borderId="5" xfId="1" applyNumberFormat="1" applyFont="1" applyFill="1" applyBorder="1" applyAlignment="1">
      <alignment horizontal="center" vertical="center" wrapText="1"/>
    </xf>
    <xf numFmtId="165" fontId="1" fillId="0" borderId="5" xfId="0" applyNumberFormat="1" applyFont="1" applyFill="1" applyBorder="1" applyAlignment="1" applyProtection="1">
      <alignment horizontal="left" vertical="center"/>
      <protection locked="0"/>
    </xf>
    <xf numFmtId="166" fontId="4" fillId="0" borderId="12" xfId="0" applyNumberFormat="1" applyFont="1" applyFill="1" applyBorder="1" applyAlignment="1" applyProtection="1">
      <alignment vertical="center"/>
      <protection locked="0"/>
    </xf>
    <xf numFmtId="165" fontId="1" fillId="0" borderId="3" xfId="0" applyNumberFormat="1" applyFont="1" applyFill="1" applyBorder="1" applyAlignment="1" applyProtection="1">
      <alignment horizontal="left" vertical="center"/>
      <protection locked="0"/>
    </xf>
    <xf numFmtId="0" fontId="9" fillId="0" borderId="0" xfId="2" applyFont="1" applyFill="1" applyAlignment="1">
      <alignment vertical="center"/>
    </xf>
    <xf numFmtId="166" fontId="10" fillId="0" borderId="12" xfId="2" applyNumberFormat="1" applyFont="1" applyFill="1" applyBorder="1" applyAlignment="1">
      <alignment vertical="center"/>
    </xf>
    <xf numFmtId="0" fontId="9" fillId="0" borderId="3" xfId="2" applyFont="1" applyFill="1" applyBorder="1" applyAlignment="1">
      <alignment vertical="center"/>
    </xf>
    <xf numFmtId="0" fontId="9" fillId="0" borderId="5" xfId="2" applyFont="1" applyFill="1" applyBorder="1" applyAlignment="1">
      <alignment vertical="center" wrapText="1"/>
    </xf>
    <xf numFmtId="166" fontId="9" fillId="0" borderId="12" xfId="2" applyNumberFormat="1" applyFont="1" applyFill="1" applyBorder="1" applyAlignment="1">
      <alignment vertical="center"/>
    </xf>
    <xf numFmtId="0" fontId="11" fillId="0" borderId="3" xfId="2" applyFont="1" applyFill="1" applyBorder="1" applyAlignment="1">
      <alignment vertical="center"/>
    </xf>
    <xf numFmtId="0" fontId="11" fillId="0" borderId="5" xfId="2" applyFont="1" applyFill="1" applyBorder="1" applyAlignment="1">
      <alignment vertical="center" wrapText="1"/>
    </xf>
    <xf numFmtId="166" fontId="11" fillId="0" borderId="12" xfId="2" applyNumberFormat="1" applyFont="1" applyFill="1" applyBorder="1" applyAlignment="1" applyProtection="1">
      <alignment vertical="center"/>
      <protection locked="0"/>
    </xf>
    <xf numFmtId="166" fontId="9" fillId="0" borderId="12" xfId="2" applyNumberFormat="1" applyFont="1" applyFill="1" applyBorder="1" applyAlignment="1" applyProtection="1">
      <alignment vertical="center"/>
      <protection locked="0"/>
    </xf>
    <xf numFmtId="0" fontId="3" fillId="0" borderId="0" xfId="2" applyFont="1" applyFill="1" applyAlignment="1">
      <alignment vertical="center"/>
    </xf>
    <xf numFmtId="166" fontId="10" fillId="2" borderId="12" xfId="2" applyNumberFormat="1" applyFont="1" applyFill="1" applyBorder="1" applyAlignment="1">
      <alignment vertical="center"/>
    </xf>
    <xf numFmtId="0" fontId="3" fillId="2" borderId="3" xfId="2" applyFont="1" applyFill="1" applyBorder="1" applyAlignment="1">
      <alignment vertical="center"/>
    </xf>
    <xf numFmtId="0" fontId="3" fillId="2" borderId="5" xfId="2" applyFont="1" applyFill="1" applyBorder="1" applyAlignment="1">
      <alignment vertical="center" wrapText="1"/>
    </xf>
    <xf numFmtId="166" fontId="3" fillId="2" borderId="12" xfId="2" applyNumberFormat="1" applyFont="1" applyFill="1" applyBorder="1" applyAlignment="1">
      <alignment vertical="center"/>
    </xf>
    <xf numFmtId="166" fontId="10" fillId="2" borderId="13" xfId="2" applyNumberFormat="1" applyFont="1" applyFill="1" applyBorder="1" applyAlignment="1">
      <alignment vertical="center"/>
    </xf>
    <xf numFmtId="166" fontId="3" fillId="2" borderId="12" xfId="0" applyNumberFormat="1" applyFont="1" applyFill="1" applyBorder="1" applyAlignment="1" applyProtection="1">
      <alignment vertical="center"/>
      <protection locked="0"/>
    </xf>
    <xf numFmtId="164" fontId="1" fillId="0" borderId="0" xfId="2" applyNumberFormat="1" applyFont="1" applyFill="1" applyAlignment="1" applyProtection="1">
      <alignment vertical="center" wrapText="1"/>
      <protection locked="0"/>
    </xf>
    <xf numFmtId="164" fontId="1" fillId="0" borderId="0" xfId="2" applyNumberFormat="1" applyFont="1" applyFill="1" applyAlignment="1" applyProtection="1">
      <alignment vertical="center"/>
      <protection locked="0"/>
    </xf>
    <xf numFmtId="164" fontId="1" fillId="0" borderId="0" xfId="2" applyNumberFormat="1" applyFont="1" applyFill="1" applyAlignment="1">
      <alignment vertical="center"/>
    </xf>
    <xf numFmtId="164" fontId="12" fillId="0" borderId="0" xfId="2" applyNumberFormat="1" applyFont="1" applyFill="1" applyAlignment="1">
      <alignment horizontal="left" vertical="center"/>
    </xf>
    <xf numFmtId="166" fontId="3" fillId="0" borderId="12" xfId="2" applyNumberFormat="1" applyFont="1" applyFill="1" applyBorder="1" applyAlignment="1" applyProtection="1">
      <alignment vertical="center"/>
      <protection locked="0"/>
    </xf>
    <xf numFmtId="164" fontId="3" fillId="0" borderId="0" xfId="2" applyNumberFormat="1" applyFont="1" applyFill="1" applyAlignment="1" applyProtection="1">
      <alignment vertical="center"/>
      <protection locked="0"/>
    </xf>
    <xf numFmtId="166" fontId="1" fillId="0" borderId="3" xfId="2" applyNumberFormat="1" applyFont="1" applyFill="1" applyBorder="1" applyAlignment="1">
      <alignment vertical="center" wrapText="1"/>
    </xf>
    <xf numFmtId="166" fontId="1" fillId="0" borderId="12" xfId="2" applyNumberFormat="1" applyFont="1" applyFill="1" applyBorder="1" applyAlignment="1" applyProtection="1">
      <alignment vertical="center"/>
      <protection locked="0"/>
    </xf>
    <xf numFmtId="164" fontId="1" fillId="0" borderId="12" xfId="2" applyNumberFormat="1" applyFont="1" applyFill="1" applyBorder="1" applyAlignment="1" applyProtection="1">
      <alignment vertical="center"/>
      <protection locked="0"/>
    </xf>
    <xf numFmtId="164" fontId="1" fillId="0" borderId="0" xfId="2" applyNumberFormat="1" applyFont="1" applyFill="1" applyAlignment="1">
      <alignment vertical="center" wrapText="1"/>
    </xf>
    <xf numFmtId="0" fontId="1" fillId="0" borderId="0" xfId="2" applyFont="1" applyFill="1" applyAlignment="1" applyProtection="1">
      <alignment vertical="center"/>
      <protection hidden="1"/>
    </xf>
    <xf numFmtId="0" fontId="1" fillId="0" borderId="0" xfId="2" applyFont="1" applyFill="1" applyAlignment="1" applyProtection="1">
      <alignment vertical="center" wrapText="1"/>
      <protection hidden="1"/>
    </xf>
    <xf numFmtId="165" fontId="1" fillId="0" borderId="0" xfId="2" applyNumberFormat="1" applyFont="1" applyFill="1" applyAlignment="1">
      <alignment vertical="center"/>
    </xf>
    <xf numFmtId="168" fontId="1" fillId="0" borderId="0" xfId="2" applyNumberFormat="1" applyFont="1" applyFill="1" applyAlignment="1">
      <alignment vertical="center"/>
    </xf>
    <xf numFmtId="168" fontId="1" fillId="0" borderId="0" xfId="2" applyNumberFormat="1" applyFont="1" applyFill="1" applyAlignment="1">
      <alignment vertical="center" wrapText="1"/>
    </xf>
    <xf numFmtId="168" fontId="1" fillId="0" borderId="0" xfId="2" applyNumberFormat="1" applyFont="1" applyFill="1" applyAlignment="1" applyProtection="1">
      <alignment vertical="center"/>
      <protection locked="0"/>
    </xf>
    <xf numFmtId="164" fontId="4" fillId="0" borderId="3" xfId="2" applyNumberFormat="1" applyFont="1" applyFill="1" applyBorder="1" applyAlignment="1">
      <alignment horizontal="left" vertical="center"/>
    </xf>
    <xf numFmtId="164" fontId="4" fillId="0" borderId="4" xfId="2" applyNumberFormat="1" applyFont="1" applyFill="1" applyBorder="1" applyAlignment="1">
      <alignment horizontal="left" vertical="center"/>
    </xf>
    <xf numFmtId="164" fontId="4" fillId="0" borderId="5" xfId="2" applyNumberFormat="1" applyFont="1" applyFill="1" applyBorder="1" applyAlignment="1">
      <alignment horizontal="left" vertical="center"/>
    </xf>
    <xf numFmtId="166" fontId="4" fillId="0" borderId="3" xfId="2" applyNumberFormat="1" applyFont="1" applyFill="1" applyBorder="1" applyAlignment="1">
      <alignment horizontal="left" vertical="center"/>
    </xf>
    <xf numFmtId="166" fontId="4" fillId="0" borderId="4" xfId="2" applyNumberFormat="1" applyFont="1" applyFill="1" applyBorder="1" applyAlignment="1">
      <alignment horizontal="left" vertical="center"/>
    </xf>
    <xf numFmtId="166" fontId="4" fillId="0" borderId="5" xfId="2" applyNumberFormat="1" applyFont="1" applyFill="1" applyBorder="1" applyAlignment="1">
      <alignment horizontal="left" vertical="center"/>
    </xf>
    <xf numFmtId="166" fontId="1" fillId="0" borderId="4" xfId="2" applyNumberFormat="1" applyFont="1" applyFill="1" applyBorder="1" applyAlignment="1">
      <alignment vertical="center" wrapText="1"/>
    </xf>
    <xf numFmtId="166" fontId="3" fillId="2" borderId="12" xfId="2" applyNumberFormat="1" applyFont="1" applyFill="1" applyBorder="1" applyAlignment="1" applyProtection="1">
      <alignment vertical="center"/>
      <protection locked="0"/>
    </xf>
    <xf numFmtId="166" fontId="1" fillId="2" borderId="3" xfId="2" applyNumberFormat="1" applyFont="1" applyFill="1" applyBorder="1" applyAlignment="1">
      <alignment vertical="center" wrapText="1"/>
    </xf>
    <xf numFmtId="166" fontId="1" fillId="2" borderId="4" xfId="2" applyNumberFormat="1" applyFont="1" applyFill="1" applyBorder="1" applyAlignment="1">
      <alignment vertical="center" wrapText="1"/>
    </xf>
    <xf numFmtId="166" fontId="1" fillId="2" borderId="12" xfId="2" applyNumberFormat="1" applyFont="1" applyFill="1" applyBorder="1" applyAlignment="1" applyProtection="1">
      <alignment vertical="center"/>
      <protection locked="0"/>
    </xf>
    <xf numFmtId="164" fontId="12" fillId="0" borderId="0" xfId="2" applyNumberFormat="1" applyFont="1" applyFill="1" applyAlignment="1">
      <alignment horizontal="left" vertical="center" wrapText="1"/>
    </xf>
    <xf numFmtId="0" fontId="4" fillId="0" borderId="0" xfId="2" applyFont="1" applyFill="1" applyAlignment="1" applyProtection="1">
      <alignment horizontal="left" vertical="center"/>
      <protection hidden="1"/>
    </xf>
    <xf numFmtId="0" fontId="4" fillId="0" borderId="5" xfId="2" applyFont="1" applyFill="1" applyBorder="1" applyAlignment="1" applyProtection="1">
      <alignment horizontal="left" vertical="center"/>
      <protection hidden="1"/>
    </xf>
    <xf numFmtId="0" fontId="3" fillId="0" borderId="3" xfId="2" applyFont="1" applyFill="1" applyBorder="1" applyAlignment="1">
      <alignment horizontal="left" vertical="center"/>
    </xf>
    <xf numFmtId="0" fontId="3" fillId="0" borderId="5" xfId="2" applyFont="1" applyFill="1" applyBorder="1" applyAlignment="1">
      <alignment horizontal="left" vertical="center"/>
    </xf>
    <xf numFmtId="0" fontId="3" fillId="0" borderId="3" xfId="2" applyFont="1" applyFill="1" applyBorder="1" applyAlignment="1">
      <alignment horizontal="left" vertical="center"/>
    </xf>
    <xf numFmtId="0" fontId="3" fillId="0" borderId="5" xfId="2" applyFont="1" applyFill="1" applyBorder="1" applyAlignment="1">
      <alignment horizontal="left" vertical="center"/>
    </xf>
    <xf numFmtId="166" fontId="1" fillId="0" borderId="0" xfId="2" applyNumberFormat="1" applyFont="1" applyFill="1" applyAlignment="1">
      <alignment vertical="center"/>
    </xf>
    <xf numFmtId="166" fontId="1" fillId="0" borderId="0" xfId="2" applyNumberFormat="1" applyFont="1" applyFill="1" applyAlignment="1">
      <alignment vertical="center" wrapText="1"/>
    </xf>
    <xf numFmtId="164" fontId="12" fillId="0" borderId="7" xfId="2" applyNumberFormat="1" applyFont="1" applyFill="1" applyBorder="1" applyAlignment="1">
      <alignment horizontal="left" vertical="center"/>
    </xf>
    <xf numFmtId="0" fontId="4" fillId="0" borderId="7" xfId="2" applyFont="1" applyFill="1" applyBorder="1" applyAlignment="1" applyProtection="1">
      <alignment horizontal="left" vertical="center"/>
      <protection hidden="1"/>
    </xf>
    <xf numFmtId="0" fontId="3" fillId="0" borderId="0" xfId="2" applyFont="1" applyFill="1" applyBorder="1" applyAlignment="1">
      <alignment horizontal="left" vertical="center"/>
    </xf>
    <xf numFmtId="166" fontId="3" fillId="0" borderId="0" xfId="2" applyNumberFormat="1" applyFont="1" applyFill="1" applyBorder="1" applyAlignment="1" applyProtection="1">
      <alignment vertical="center"/>
      <protection locked="0"/>
    </xf>
    <xf numFmtId="166" fontId="3" fillId="0" borderId="7" xfId="2" applyNumberFormat="1" applyFont="1" applyFill="1" applyBorder="1" applyAlignment="1" applyProtection="1">
      <alignment vertical="center"/>
      <protection locked="0"/>
    </xf>
    <xf numFmtId="166" fontId="1" fillId="0" borderId="12" xfId="5" applyNumberFormat="1" applyFont="1" applyFill="1" applyBorder="1" applyAlignment="1" applyProtection="1">
      <alignment vertical="center"/>
      <protection locked="0"/>
    </xf>
    <xf numFmtId="166" fontId="3" fillId="0" borderId="12" xfId="5" applyNumberFormat="1" applyFont="1" applyFill="1" applyBorder="1" applyAlignment="1" applyProtection="1">
      <alignment vertical="center"/>
      <protection locked="0"/>
    </xf>
    <xf numFmtId="164" fontId="12" fillId="0" borderId="15" xfId="2" applyNumberFormat="1" applyFont="1" applyFill="1" applyBorder="1" applyAlignment="1">
      <alignment horizontal="left" vertical="center"/>
    </xf>
    <xf numFmtId="166" fontId="1" fillId="0" borderId="12" xfId="0" applyNumberFormat="1" applyFont="1" applyBorder="1" applyAlignment="1" applyProtection="1">
      <alignment vertical="center"/>
      <protection locked="0"/>
    </xf>
    <xf numFmtId="166" fontId="3" fillId="0" borderId="12" xfId="0" applyNumberFormat="1" applyFont="1" applyBorder="1" applyAlignment="1" applyProtection="1">
      <alignment vertical="center"/>
      <protection locked="0"/>
    </xf>
    <xf numFmtId="164" fontId="1" fillId="3" borderId="0" xfId="2" applyNumberFormat="1" applyFont="1" applyFill="1" applyAlignment="1" applyProtection="1">
      <alignment vertical="center"/>
      <protection locked="0"/>
    </xf>
    <xf numFmtId="0" fontId="3" fillId="0" borderId="8" xfId="0" applyNumberFormat="1" applyFont="1" applyFill="1" applyBorder="1" applyAlignment="1" applyProtection="1">
      <alignment horizontal="center" vertical="center"/>
      <protection hidden="1"/>
    </xf>
    <xf numFmtId="0" fontId="3" fillId="0" borderId="5" xfId="2" applyFont="1" applyFill="1" applyBorder="1" applyAlignment="1">
      <alignment horizontal="left" vertical="center"/>
    </xf>
    <xf numFmtId="0" fontId="1" fillId="0" borderId="3" xfId="2" applyFont="1" applyFill="1" applyBorder="1" applyAlignment="1">
      <alignment horizontal="left" vertical="center"/>
    </xf>
    <xf numFmtId="0" fontId="13" fillId="0" borderId="0" xfId="0" applyFont="1"/>
    <xf numFmtId="0" fontId="0" fillId="0" borderId="0" xfId="0" applyAlignment="1">
      <alignment horizontal="left" indent="1"/>
    </xf>
    <xf numFmtId="164" fontId="15" fillId="0" borderId="0" xfId="0" applyNumberFormat="1" applyFont="1" applyFill="1" applyAlignment="1">
      <alignment horizontal="left" vertical="center"/>
    </xf>
    <xf numFmtId="164" fontId="15" fillId="0" borderId="0" xfId="0" applyNumberFormat="1" applyFont="1" applyFill="1" applyAlignment="1">
      <alignment horizontal="left" vertical="center" wrapText="1"/>
    </xf>
    <xf numFmtId="164" fontId="15" fillId="0" borderId="0" xfId="0" applyNumberFormat="1" applyFont="1" applyFill="1" applyAlignment="1">
      <alignment vertical="center"/>
    </xf>
    <xf numFmtId="164" fontId="17" fillId="0" borderId="0" xfId="0" applyNumberFormat="1" applyFont="1" applyFill="1" applyAlignment="1">
      <alignment vertical="center"/>
    </xf>
    <xf numFmtId="164" fontId="17" fillId="0" borderId="0" xfId="0" applyNumberFormat="1" applyFont="1" applyFill="1" applyAlignment="1">
      <alignment horizontal="left" vertical="center"/>
    </xf>
    <xf numFmtId="164" fontId="17" fillId="0" borderId="0" xfId="0" applyNumberFormat="1" applyFont="1" applyFill="1" applyAlignment="1">
      <alignment horizontal="left" vertical="center" wrapText="1"/>
    </xf>
    <xf numFmtId="164" fontId="15" fillId="0" borderId="0" xfId="2" applyNumberFormat="1" applyFont="1" applyFill="1" applyAlignment="1">
      <alignment horizontal="left" vertical="center"/>
    </xf>
    <xf numFmtId="164" fontId="16" fillId="0" borderId="0" xfId="2" applyNumberFormat="1" applyFont="1" applyFill="1" applyAlignment="1">
      <alignment vertical="center"/>
    </xf>
    <xf numFmtId="169" fontId="5" fillId="0" borderId="3" xfId="0" applyNumberFormat="1" applyFont="1" applyFill="1" applyBorder="1" applyAlignment="1" applyProtection="1">
      <alignment vertical="center"/>
      <protection locked="0"/>
    </xf>
    <xf numFmtId="169" fontId="1" fillId="0" borderId="12" xfId="0" applyNumberFormat="1" applyFont="1" applyFill="1" applyBorder="1" applyAlignment="1" applyProtection="1">
      <alignment vertical="center"/>
      <protection locked="0"/>
    </xf>
    <xf numFmtId="169" fontId="1" fillId="0" borderId="0" xfId="0" applyNumberFormat="1" applyFont="1" applyFill="1" applyAlignment="1" applyProtection="1">
      <alignment vertical="center"/>
      <protection locked="0"/>
    </xf>
    <xf numFmtId="169" fontId="5" fillId="0" borderId="12" xfId="0" applyNumberFormat="1" applyFont="1" applyFill="1" applyBorder="1" applyAlignment="1" applyProtection="1">
      <alignment vertical="center"/>
      <protection locked="0"/>
    </xf>
    <xf numFmtId="164" fontId="18" fillId="0" borderId="0" xfId="0" applyNumberFormat="1" applyFont="1" applyFill="1" applyAlignment="1" applyProtection="1">
      <alignment vertical="center"/>
      <protection locked="0"/>
    </xf>
    <xf numFmtId="4" fontId="1" fillId="0" borderId="12" xfId="0" applyNumberFormat="1" applyFont="1" applyFill="1" applyBorder="1" applyAlignment="1" applyProtection="1">
      <alignment vertical="center"/>
      <protection locked="0"/>
    </xf>
    <xf numFmtId="167" fontId="1" fillId="0" borderId="0" xfId="0" applyNumberFormat="1" applyFont="1" applyFill="1" applyAlignment="1" applyProtection="1">
      <alignment vertical="center"/>
      <protection locked="0"/>
    </xf>
    <xf numFmtId="164" fontId="1" fillId="0" borderId="3" xfId="2" applyNumberFormat="1" applyFont="1" applyFill="1" applyBorder="1" applyAlignment="1">
      <alignment vertical="center" wrapText="1"/>
    </xf>
    <xf numFmtId="164" fontId="1" fillId="0" borderId="4" xfId="2" applyNumberFormat="1" applyFont="1" applyFill="1" applyBorder="1" applyAlignment="1">
      <alignment vertical="center" wrapText="1"/>
    </xf>
    <xf numFmtId="167" fontId="1" fillId="0" borderId="0" xfId="2" applyNumberFormat="1" applyFont="1" applyFill="1" applyAlignment="1" applyProtection="1">
      <alignment vertical="center"/>
      <protection locked="0"/>
    </xf>
    <xf numFmtId="164" fontId="1" fillId="0" borderId="0" xfId="0" applyNumberFormat="1" applyFont="1" applyFill="1" applyBorder="1" applyAlignment="1" applyProtection="1">
      <alignment vertical="center" wrapText="1"/>
      <protection locked="0"/>
    </xf>
    <xf numFmtId="164" fontId="1" fillId="0" borderId="0" xfId="0" applyNumberFormat="1" applyFont="1" applyFill="1" applyBorder="1" applyAlignment="1">
      <alignment vertical="center" wrapText="1"/>
    </xf>
    <xf numFmtId="0" fontId="19" fillId="0" borderId="0" xfId="0" applyFont="1" applyAlignment="1">
      <alignment horizontal="left" indent="1"/>
    </xf>
    <xf numFmtId="0" fontId="20" fillId="0" borderId="0" xfId="0" applyFont="1" applyAlignment="1">
      <alignment horizontal="left" indent="1"/>
    </xf>
    <xf numFmtId="0" fontId="3" fillId="0" borderId="3" xfId="0" applyFont="1" applyFill="1" applyBorder="1" applyAlignment="1">
      <alignment horizontal="left" vertical="center" wrapText="1"/>
    </xf>
    <xf numFmtId="0" fontId="3" fillId="0" borderId="8" xfId="0" applyNumberFormat="1" applyFont="1" applyFill="1" applyBorder="1" applyAlignment="1" applyProtection="1">
      <alignment horizontal="center" vertical="center"/>
      <protection hidden="1"/>
    </xf>
    <xf numFmtId="0" fontId="3" fillId="0" borderId="8" xfId="0" applyNumberFormat="1" applyFont="1" applyFill="1" applyBorder="1" applyAlignment="1" applyProtection="1">
      <alignment horizontal="center" vertical="center"/>
      <protection hidden="1"/>
    </xf>
    <xf numFmtId="0" fontId="3" fillId="0" borderId="3" xfId="0" applyFont="1" applyFill="1" applyBorder="1" applyAlignment="1">
      <alignment horizontal="left" vertical="center" wrapText="1"/>
    </xf>
    <xf numFmtId="164" fontId="15" fillId="0" borderId="15" xfId="0" applyNumberFormat="1" applyFont="1" applyFill="1" applyBorder="1" applyAlignment="1">
      <alignment horizontal="left" vertical="center"/>
    </xf>
    <xf numFmtId="0" fontId="14" fillId="0" borderId="15" xfId="0" applyFont="1" applyFill="1" applyBorder="1" applyAlignment="1">
      <alignment horizontal="left" vertical="center"/>
    </xf>
    <xf numFmtId="0" fontId="21" fillId="0" borderId="0" xfId="0" applyFont="1"/>
    <xf numFmtId="166" fontId="4" fillId="0" borderId="0" xfId="0" applyNumberFormat="1" applyFont="1" applyFill="1" applyBorder="1" applyAlignment="1" applyProtection="1">
      <alignment vertical="center"/>
      <protection locked="0"/>
    </xf>
    <xf numFmtId="0" fontId="4" fillId="0" borderId="15" xfId="0" applyFont="1" applyFill="1" applyBorder="1" applyAlignment="1">
      <alignment horizontal="left" vertical="center"/>
    </xf>
    <xf numFmtId="166" fontId="4" fillId="0" borderId="15" xfId="0" applyNumberFormat="1" applyFont="1" applyFill="1" applyBorder="1" applyAlignment="1" applyProtection="1">
      <alignment vertical="center"/>
      <protection locked="0"/>
    </xf>
    <xf numFmtId="164" fontId="1" fillId="0" borderId="1" xfId="0" applyNumberFormat="1" applyFont="1" applyFill="1" applyBorder="1" applyAlignment="1">
      <alignment vertical="center"/>
    </xf>
    <xf numFmtId="164" fontId="1" fillId="0" borderId="2" xfId="0" applyNumberFormat="1" applyFont="1" applyFill="1" applyBorder="1" applyAlignment="1">
      <alignment vertical="center" wrapText="1"/>
    </xf>
    <xf numFmtId="166" fontId="5" fillId="0" borderId="1" xfId="0" applyNumberFormat="1" applyFont="1" applyFill="1" applyBorder="1" applyAlignment="1" applyProtection="1">
      <alignment vertical="center"/>
      <protection locked="0"/>
    </xf>
    <xf numFmtId="4" fontId="1" fillId="0" borderId="8" xfId="0" applyNumberFormat="1" applyFont="1" applyFill="1" applyBorder="1" applyAlignment="1" applyProtection="1">
      <alignment vertical="center"/>
      <protection locked="0"/>
    </xf>
    <xf numFmtId="166" fontId="1" fillId="0" borderId="11" xfId="0" applyNumberFormat="1" applyFont="1" applyFill="1" applyBorder="1" applyAlignment="1" applyProtection="1">
      <alignment vertical="center"/>
      <protection locked="0"/>
    </xf>
    <xf numFmtId="0" fontId="1" fillId="0" borderId="14" xfId="0" applyFont="1" applyFill="1" applyBorder="1" applyAlignment="1">
      <alignment vertical="center"/>
    </xf>
    <xf numFmtId="0" fontId="1" fillId="0" borderId="14" xfId="0" applyFont="1" applyFill="1" applyBorder="1" applyAlignment="1">
      <alignment vertical="center" wrapText="1"/>
    </xf>
    <xf numFmtId="166" fontId="5" fillId="0" borderId="14" xfId="0" applyNumberFormat="1" applyFont="1" applyFill="1" applyBorder="1" applyAlignment="1" applyProtection="1">
      <alignment vertical="center"/>
      <protection locked="0"/>
    </xf>
    <xf numFmtId="166" fontId="1" fillId="0" borderId="1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166" fontId="5" fillId="0" borderId="0" xfId="0" applyNumberFormat="1" applyFont="1" applyFill="1" applyBorder="1" applyAlignment="1" applyProtection="1">
      <alignment vertical="center"/>
      <protection locked="0"/>
    </xf>
    <xf numFmtId="166" fontId="1" fillId="0" borderId="0" xfId="0" applyNumberFormat="1" applyFont="1" applyFill="1" applyBorder="1" applyAlignment="1" applyProtection="1">
      <alignment vertical="center"/>
      <protection locked="0"/>
    </xf>
    <xf numFmtId="0" fontId="1" fillId="0" borderId="15" xfId="0" applyFont="1" applyFill="1" applyBorder="1" applyAlignment="1">
      <alignment vertical="center"/>
    </xf>
    <xf numFmtId="0" fontId="1" fillId="0" borderId="15" xfId="0" applyFont="1" applyFill="1" applyBorder="1" applyAlignment="1">
      <alignment vertical="center" wrapText="1"/>
    </xf>
    <xf numFmtId="166" fontId="5" fillId="0" borderId="15" xfId="0" applyNumberFormat="1" applyFont="1" applyFill="1" applyBorder="1" applyAlignment="1" applyProtection="1">
      <alignment vertical="center"/>
      <protection locked="0"/>
    </xf>
    <xf numFmtId="166" fontId="1" fillId="0" borderId="15" xfId="0" applyNumberFormat="1" applyFont="1" applyFill="1" applyBorder="1" applyAlignment="1" applyProtection="1">
      <alignment vertical="center"/>
      <protection locked="0"/>
    </xf>
    <xf numFmtId="164" fontId="15" fillId="0" borderId="4" xfId="1" applyNumberFormat="1" applyFont="1" applyFill="1" applyBorder="1" applyAlignment="1">
      <alignment horizontal="center" vertical="center" wrapText="1"/>
    </xf>
    <xf numFmtId="164" fontId="15" fillId="0" borderId="8" xfId="0" applyNumberFormat="1" applyFont="1" applyFill="1" applyBorder="1" applyAlignment="1" applyProtection="1">
      <alignment horizontal="center" vertical="center"/>
      <protection hidden="1"/>
    </xf>
    <xf numFmtId="0" fontId="1" fillId="0" borderId="12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166" fontId="3" fillId="0" borderId="0" xfId="0" applyNumberFormat="1" applyFont="1" applyFill="1" applyAlignment="1" applyProtection="1">
      <alignment vertical="center"/>
      <protection locked="0"/>
    </xf>
    <xf numFmtId="4" fontId="3" fillId="0" borderId="12" xfId="0" applyNumberFormat="1" applyFont="1" applyFill="1" applyBorder="1" applyAlignment="1" applyProtection="1">
      <alignment vertical="center"/>
      <protection locked="0"/>
    </xf>
    <xf numFmtId="166" fontId="1" fillId="2" borderId="12" xfId="0" applyNumberFormat="1" applyFont="1" applyFill="1" applyBorder="1" applyAlignment="1" applyProtection="1">
      <alignment vertical="center"/>
      <protection locked="0"/>
    </xf>
    <xf numFmtId="0" fontId="19" fillId="0" borderId="0" xfId="0" applyFont="1" applyAlignment="1">
      <alignment horizontal="left" indent="3"/>
    </xf>
    <xf numFmtId="0" fontId="20" fillId="0" borderId="0" xfId="0" applyFont="1" applyAlignment="1">
      <alignment horizontal="left" indent="3"/>
    </xf>
    <xf numFmtId="0" fontId="7" fillId="0" borderId="0" xfId="0" applyFont="1" applyAlignment="1">
      <alignment horizontal="left" indent="3"/>
    </xf>
    <xf numFmtId="3" fontId="1" fillId="0" borderId="0" xfId="0" applyNumberFormat="1" applyFont="1" applyFill="1" applyAlignment="1">
      <alignment vertical="center"/>
    </xf>
    <xf numFmtId="3" fontId="17" fillId="0" borderId="0" xfId="0" applyNumberFormat="1" applyFont="1" applyFill="1" applyAlignment="1">
      <alignment horizontal="left" vertical="center"/>
    </xf>
    <xf numFmtId="3" fontId="9" fillId="0" borderId="0" xfId="2" applyNumberFormat="1" applyFont="1" applyFill="1" applyAlignment="1">
      <alignment vertical="center"/>
    </xf>
    <xf numFmtId="170" fontId="1" fillId="0" borderId="0" xfId="2" applyNumberFormat="1" applyFont="1" applyFill="1" applyAlignment="1" applyProtection="1">
      <alignment vertical="center"/>
      <protection locked="0"/>
    </xf>
    <xf numFmtId="0" fontId="16" fillId="0" borderId="0" xfId="2" applyFont="1" applyFill="1" applyAlignment="1">
      <alignment vertical="center"/>
    </xf>
    <xf numFmtId="3" fontId="16" fillId="0" borderId="0" xfId="2" applyNumberFormat="1" applyFont="1" applyFill="1" applyAlignment="1">
      <alignment vertical="center"/>
    </xf>
    <xf numFmtId="164" fontId="16" fillId="0" borderId="0" xfId="2" applyNumberFormat="1" applyFont="1" applyFill="1" applyAlignment="1" applyProtection="1">
      <alignment vertical="center"/>
      <protection locked="0"/>
    </xf>
    <xf numFmtId="164" fontId="16" fillId="0" borderId="0" xfId="0" applyNumberFormat="1" applyFont="1" applyFill="1" applyAlignment="1" applyProtection="1">
      <alignment vertical="center"/>
      <protection locked="0"/>
    </xf>
    <xf numFmtId="0" fontId="15" fillId="0" borderId="8" xfId="0" applyNumberFormat="1" applyFont="1" applyFill="1" applyBorder="1" applyAlignment="1" applyProtection="1">
      <alignment horizontal="center" vertical="center"/>
      <protection hidden="1"/>
    </xf>
    <xf numFmtId="166" fontId="1" fillId="0" borderId="12" xfId="5" applyNumberFormat="1" applyFont="1" applyBorder="1" applyAlignment="1" applyProtection="1">
      <alignment vertical="center"/>
      <protection locked="0"/>
    </xf>
    <xf numFmtId="164" fontId="1" fillId="0" borderId="0" xfId="0" applyNumberFormat="1" applyFont="1" applyFill="1" applyAlignment="1" applyProtection="1">
      <alignment horizontal="center" vertical="center"/>
      <protection locked="0"/>
    </xf>
    <xf numFmtId="171" fontId="1" fillId="0" borderId="0" xfId="0" applyNumberFormat="1" applyFont="1" applyFill="1" applyAlignment="1" applyProtection="1">
      <alignment vertical="center"/>
      <protection locked="0"/>
    </xf>
    <xf numFmtId="2" fontId="1" fillId="0" borderId="0" xfId="0" applyNumberFormat="1" applyFont="1" applyFill="1" applyAlignment="1">
      <alignment vertical="center"/>
    </xf>
    <xf numFmtId="2" fontId="15" fillId="0" borderId="0" xfId="0" applyNumberFormat="1" applyFont="1" applyFill="1" applyAlignment="1">
      <alignment vertical="center"/>
    </xf>
    <xf numFmtId="2" fontId="1" fillId="0" borderId="0" xfId="0" applyNumberFormat="1" applyFont="1" applyFill="1" applyAlignment="1" applyProtection="1">
      <alignment vertical="center"/>
      <protection locked="0"/>
    </xf>
    <xf numFmtId="3" fontId="15" fillId="0" borderId="0" xfId="0" applyNumberFormat="1" applyFont="1" applyFill="1" applyAlignment="1">
      <alignment vertical="center"/>
    </xf>
    <xf numFmtId="3" fontId="1" fillId="0" borderId="0" xfId="0" applyNumberFormat="1" applyFont="1" applyFill="1" applyAlignment="1" applyProtection="1">
      <alignment vertical="center"/>
      <protection locked="0"/>
    </xf>
    <xf numFmtId="3" fontId="3" fillId="0" borderId="0" xfId="2" applyNumberFormat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164" fontId="15" fillId="0" borderId="1" xfId="1" applyNumberFormat="1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164" fontId="15" fillId="0" borderId="3" xfId="1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164" fontId="3" fillId="0" borderId="2" xfId="1" applyNumberFormat="1" applyFont="1" applyFill="1" applyBorder="1" applyAlignment="1">
      <alignment horizontal="center" vertical="center" wrapText="1"/>
    </xf>
    <xf numFmtId="164" fontId="3" fillId="0" borderId="6" xfId="1" applyNumberFormat="1" applyFont="1" applyFill="1" applyBorder="1" applyAlignment="1">
      <alignment horizontal="center" vertical="center" wrapText="1"/>
    </xf>
    <xf numFmtId="164" fontId="3" fillId="0" borderId="7" xfId="1" applyNumberFormat="1" applyFont="1" applyFill="1" applyBorder="1" applyAlignment="1">
      <alignment horizontal="center" vertical="center" wrapText="1"/>
    </xf>
    <xf numFmtId="164" fontId="4" fillId="0" borderId="3" xfId="0" applyNumberFormat="1" applyFont="1" applyFill="1" applyBorder="1" applyAlignment="1">
      <alignment horizontal="left" vertical="center"/>
    </xf>
    <xf numFmtId="164" fontId="4" fillId="0" borderId="4" xfId="0" applyNumberFormat="1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164" fontId="15" fillId="0" borderId="4" xfId="1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164" fontId="15" fillId="0" borderId="2" xfId="1" applyNumberFormat="1" applyFont="1" applyFill="1" applyBorder="1" applyAlignment="1">
      <alignment horizontal="center" vertical="center" wrapText="1"/>
    </xf>
    <xf numFmtId="164" fontId="15" fillId="0" borderId="6" xfId="1" applyNumberFormat="1" applyFont="1" applyFill="1" applyBorder="1" applyAlignment="1">
      <alignment horizontal="center" vertical="center" wrapText="1"/>
    </xf>
    <xf numFmtId="164" fontId="15" fillId="0" borderId="7" xfId="1" applyNumberFormat="1" applyFont="1" applyFill="1" applyBorder="1" applyAlignment="1">
      <alignment horizontal="center" vertical="center" wrapText="1"/>
    </xf>
    <xf numFmtId="164" fontId="3" fillId="0" borderId="3" xfId="1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10" fillId="2" borderId="12" xfId="2" applyFont="1" applyFill="1" applyBorder="1" applyAlignment="1">
      <alignment horizontal="left" vertical="center"/>
    </xf>
    <xf numFmtId="167" fontId="15" fillId="0" borderId="8" xfId="1" applyNumberFormat="1" applyFont="1" applyFill="1" applyBorder="1" applyAlignment="1" applyProtection="1">
      <alignment horizontal="center" vertical="center" wrapText="1"/>
      <protection hidden="1"/>
    </xf>
    <xf numFmtId="167" fontId="15" fillId="0" borderId="11" xfId="1" applyNumberFormat="1" applyFont="1" applyFill="1" applyBorder="1" applyAlignment="1" applyProtection="1">
      <alignment horizontal="center" vertical="center" wrapText="1"/>
      <protection hidden="1"/>
    </xf>
    <xf numFmtId="0" fontId="10" fillId="2" borderId="3" xfId="2" applyFont="1" applyFill="1" applyBorder="1" applyAlignment="1">
      <alignment horizontal="left" vertical="center"/>
    </xf>
    <xf numFmtId="0" fontId="10" fillId="2" borderId="5" xfId="2" applyFont="1" applyFill="1" applyBorder="1" applyAlignment="1">
      <alignment horizontal="left" vertical="center"/>
    </xf>
    <xf numFmtId="0" fontId="10" fillId="2" borderId="13" xfId="2" applyFont="1" applyFill="1" applyBorder="1" applyAlignment="1">
      <alignment horizontal="left" vertical="center"/>
    </xf>
    <xf numFmtId="0" fontId="10" fillId="0" borderId="12" xfId="2" applyFont="1" applyFill="1" applyBorder="1" applyAlignment="1">
      <alignment horizontal="left" vertical="center"/>
    </xf>
    <xf numFmtId="167" fontId="15" fillId="0" borderId="1" xfId="1" applyNumberFormat="1" applyFont="1" applyFill="1" applyBorder="1" applyAlignment="1">
      <alignment horizontal="center" vertical="center" wrapText="1"/>
    </xf>
    <xf numFmtId="167" fontId="15" fillId="0" borderId="2" xfId="1" applyNumberFormat="1" applyFont="1" applyFill="1" applyBorder="1" applyAlignment="1">
      <alignment horizontal="center" vertical="center" wrapText="1"/>
    </xf>
    <xf numFmtId="167" fontId="15" fillId="0" borderId="6" xfId="1" applyNumberFormat="1" applyFont="1" applyFill="1" applyBorder="1" applyAlignment="1">
      <alignment horizontal="center" vertical="center" wrapText="1"/>
    </xf>
    <xf numFmtId="167" fontId="15" fillId="0" borderId="7" xfId="1" applyNumberFormat="1" applyFont="1" applyFill="1" applyBorder="1" applyAlignment="1">
      <alignment horizontal="center" vertical="center" wrapText="1"/>
    </xf>
    <xf numFmtId="167" fontId="15" fillId="0" borderId="9" xfId="1" applyNumberFormat="1" applyFont="1" applyFill="1" applyBorder="1" applyAlignment="1">
      <alignment horizontal="center" vertical="center" wrapText="1"/>
    </xf>
    <xf numFmtId="167" fontId="15" fillId="0" borderId="10" xfId="1" applyNumberFormat="1" applyFont="1" applyFill="1" applyBorder="1" applyAlignment="1">
      <alignment horizontal="center" vertical="center" wrapText="1"/>
    </xf>
    <xf numFmtId="167" fontId="15" fillId="0" borderId="3" xfId="1" applyNumberFormat="1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vertical="center"/>
    </xf>
    <xf numFmtId="167" fontId="15" fillId="0" borderId="8" xfId="1" quotePrefix="1" applyNumberFormat="1" applyFont="1" applyFill="1" applyBorder="1" applyAlignment="1" applyProtection="1">
      <alignment horizontal="center" vertical="center" wrapText="1"/>
      <protection hidden="1"/>
    </xf>
    <xf numFmtId="0" fontId="0" fillId="0" borderId="15" xfId="0" applyBorder="1" applyAlignment="1">
      <alignment horizontal="center" vertical="center" wrapText="1"/>
    </xf>
    <xf numFmtId="164" fontId="15" fillId="0" borderId="0" xfId="0" applyNumberFormat="1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166" fontId="3" fillId="2" borderId="12" xfId="2" applyNumberFormat="1" applyFont="1" applyFill="1" applyBorder="1" applyAlignment="1">
      <alignment horizontal="left" vertical="center" wrapText="1"/>
    </xf>
    <xf numFmtId="166" fontId="3" fillId="2" borderId="3" xfId="2" applyNumberFormat="1" applyFont="1" applyFill="1" applyBorder="1" applyAlignment="1">
      <alignment horizontal="left" vertical="center" wrapText="1"/>
    </xf>
    <xf numFmtId="164" fontId="15" fillId="0" borderId="0" xfId="1" applyNumberFormat="1" applyFont="1" applyFill="1" applyBorder="1" applyAlignment="1">
      <alignment horizontal="center" vertical="center" wrapText="1"/>
    </xf>
    <xf numFmtId="166" fontId="3" fillId="0" borderId="3" xfId="2" applyNumberFormat="1" applyFont="1" applyFill="1" applyBorder="1" applyAlignment="1">
      <alignment horizontal="left" vertical="center" wrapText="1"/>
    </xf>
    <xf numFmtId="166" fontId="3" fillId="0" borderId="4" xfId="2" applyNumberFormat="1" applyFont="1" applyFill="1" applyBorder="1" applyAlignment="1">
      <alignment horizontal="left" vertical="center" wrapText="1"/>
    </xf>
    <xf numFmtId="166" fontId="3" fillId="2" borderId="4" xfId="2" applyNumberFormat="1" applyFont="1" applyFill="1" applyBorder="1" applyAlignment="1">
      <alignment horizontal="left" vertical="center" wrapText="1"/>
    </xf>
    <xf numFmtId="166" fontId="3" fillId="0" borderId="12" xfId="2" applyNumberFormat="1" applyFont="1" applyFill="1" applyBorder="1" applyAlignment="1">
      <alignment horizontal="left" vertical="center" wrapText="1"/>
    </xf>
    <xf numFmtId="164" fontId="15" fillId="0" borderId="9" xfId="1" applyNumberFormat="1" applyFont="1" applyFill="1" applyBorder="1" applyAlignment="1">
      <alignment horizontal="center" vertical="center" wrapText="1"/>
    </xf>
    <xf numFmtId="164" fontId="15" fillId="0" borderId="15" xfId="1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vertical="center"/>
    </xf>
    <xf numFmtId="0" fontId="3" fillId="0" borderId="12" xfId="2" applyFont="1" applyFill="1" applyBorder="1" applyAlignment="1">
      <alignment horizontal="left" vertical="center"/>
    </xf>
    <xf numFmtId="0" fontId="3" fillId="0" borderId="3" xfId="2" applyFont="1" applyFill="1" applyBorder="1" applyAlignment="1">
      <alignment horizontal="left" vertical="center"/>
    </xf>
    <xf numFmtId="0" fontId="3" fillId="0" borderId="5" xfId="2" applyFont="1" applyFill="1" applyBorder="1" applyAlignment="1">
      <alignment horizontal="left" vertical="center"/>
    </xf>
    <xf numFmtId="0" fontId="1" fillId="0" borderId="3" xfId="2" applyFont="1" applyFill="1" applyBorder="1" applyAlignment="1">
      <alignment vertical="center"/>
    </xf>
    <xf numFmtId="0" fontId="1" fillId="0" borderId="5" xfId="2" applyFont="1" applyFill="1" applyBorder="1" applyAlignment="1">
      <alignment vertical="center"/>
    </xf>
    <xf numFmtId="0" fontId="1" fillId="0" borderId="3" xfId="2" applyFont="1" applyFill="1" applyBorder="1" applyAlignment="1">
      <alignment vertical="center" wrapText="1"/>
    </xf>
    <xf numFmtId="0" fontId="1" fillId="0" borderId="12" xfId="2" applyFont="1" applyFill="1" applyBorder="1" applyAlignment="1">
      <alignment horizontal="left" vertical="center"/>
    </xf>
    <xf numFmtId="0" fontId="4" fillId="0" borderId="9" xfId="2" applyFont="1" applyFill="1" applyBorder="1" applyAlignment="1" applyProtection="1">
      <alignment horizontal="left" vertical="center"/>
      <protection hidden="1"/>
    </xf>
    <xf numFmtId="0" fontId="4" fillId="0" borderId="15" xfId="2" applyFont="1" applyFill="1" applyBorder="1" applyAlignment="1" applyProtection="1">
      <alignment horizontal="left" vertical="center"/>
      <protection hidden="1"/>
    </xf>
    <xf numFmtId="167" fontId="3" fillId="0" borderId="8" xfId="1" applyNumberFormat="1" applyFont="1" applyFill="1" applyBorder="1" applyAlignment="1">
      <alignment horizontal="center" vertical="center" wrapText="1"/>
    </xf>
    <xf numFmtId="167" fontId="3" fillId="0" borderId="11" xfId="1" applyNumberFormat="1" applyFont="1" applyFill="1" applyBorder="1" applyAlignment="1">
      <alignment horizontal="center" vertical="center" wrapText="1"/>
    </xf>
    <xf numFmtId="0" fontId="7" fillId="0" borderId="11" xfId="2" applyFill="1" applyBorder="1" applyAlignment="1">
      <alignment horizontal="center" vertical="center" wrapText="1"/>
    </xf>
    <xf numFmtId="167" fontId="3" fillId="0" borderId="1" xfId="1" applyNumberFormat="1" applyFont="1" applyFill="1" applyBorder="1" applyAlignment="1">
      <alignment horizontal="center" vertical="center" wrapText="1"/>
    </xf>
    <xf numFmtId="0" fontId="7" fillId="0" borderId="2" xfId="2" applyFill="1" applyBorder="1" applyAlignment="1">
      <alignment horizontal="center" vertical="center" wrapText="1"/>
    </xf>
    <xf numFmtId="0" fontId="7" fillId="0" borderId="9" xfId="2" applyFill="1" applyBorder="1" applyAlignment="1">
      <alignment horizontal="center" vertical="center" wrapText="1"/>
    </xf>
    <xf numFmtId="0" fontId="7" fillId="0" borderId="10" xfId="2" applyFill="1" applyBorder="1" applyAlignment="1">
      <alignment horizontal="center" vertical="center" wrapText="1"/>
    </xf>
    <xf numFmtId="0" fontId="4" fillId="0" borderId="3" xfId="2" applyFont="1" applyFill="1" applyBorder="1" applyAlignment="1" applyProtection="1">
      <alignment horizontal="left" vertical="center"/>
      <protection hidden="1"/>
    </xf>
    <xf numFmtId="0" fontId="4" fillId="0" borderId="4" xfId="2" applyFont="1" applyFill="1" applyBorder="1" applyAlignment="1" applyProtection="1">
      <alignment horizontal="left" vertical="center"/>
      <protection hidden="1"/>
    </xf>
    <xf numFmtId="0" fontId="1" fillId="0" borderId="5" xfId="2" applyFont="1" applyFill="1" applyBorder="1" applyAlignment="1">
      <alignment vertical="center" wrapText="1"/>
    </xf>
    <xf numFmtId="0" fontId="1" fillId="0" borderId="3" xfId="2" applyFont="1" applyFill="1" applyBorder="1" applyAlignment="1">
      <alignment horizontal="left" vertical="center"/>
    </xf>
    <xf numFmtId="0" fontId="1" fillId="0" borderId="5" xfId="2" applyFont="1" applyFill="1" applyBorder="1" applyAlignment="1">
      <alignment horizontal="left" vertical="center"/>
    </xf>
    <xf numFmtId="167" fontId="3" fillId="0" borderId="2" xfId="1" applyNumberFormat="1" applyFont="1" applyFill="1" applyBorder="1" applyAlignment="1">
      <alignment horizontal="center" vertical="center" wrapText="1"/>
    </xf>
    <xf numFmtId="167" fontId="3" fillId="0" borderId="9" xfId="1" applyNumberFormat="1" applyFont="1" applyFill="1" applyBorder="1" applyAlignment="1">
      <alignment horizontal="center" vertical="center" wrapText="1"/>
    </xf>
    <xf numFmtId="167" fontId="3" fillId="0" borderId="10" xfId="1" applyNumberFormat="1" applyFont="1" applyFill="1" applyBorder="1" applyAlignment="1">
      <alignment horizontal="center" vertical="center" wrapText="1"/>
    </xf>
    <xf numFmtId="164" fontId="3" fillId="0" borderId="9" xfId="1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6">
    <cellStyle name="Hiperłącze 2" xfId="3" xr:uid="{83AFAC95-BC58-486F-A9AE-F624BD6CB32D}"/>
    <cellStyle name="Normalny" xfId="0" builtinId="0"/>
    <cellStyle name="Normalny 2" xfId="2" xr:uid="{3F7C5392-FA8B-42BA-A857-7BE03D67A662}"/>
    <cellStyle name="Normalny 2 2 2" xfId="4" xr:uid="{F0A3F7A2-1670-412D-91FC-EF1E17ED24A9}"/>
    <cellStyle name="Normalny 3 2" xfId="5" xr:uid="{A58E9D1A-B5D2-49E1-93F9-3896C1A98678}"/>
    <cellStyle name="Normalny_Sprawozdania finansowe" xfId="1" xr:uid="{8AB57F57-9B1A-4A31-9745-02C3F7D8D3D9}"/>
  </cellStyles>
  <dxfs count="0"/>
  <tableStyles count="0" defaultTableStyle="TableStyleMedium2" defaultPivotStyle="PivotStyleLight16"/>
  <colors>
    <mruColors>
      <color rgb="FFFF000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66675</xdr:rowOff>
    </xdr:from>
    <xdr:to>
      <xdr:col>1</xdr:col>
      <xdr:colOff>4267200</xdr:colOff>
      <xdr:row>5</xdr:row>
      <xdr:rowOff>47625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6CBE6F64-2B3D-469B-9E88-BE84BC6DA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66675"/>
          <a:ext cx="4257675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821054</xdr:colOff>
      <xdr:row>0</xdr:row>
      <xdr:rowOff>0</xdr:rowOff>
    </xdr:from>
    <xdr:to>
      <xdr:col>4</xdr:col>
      <xdr:colOff>0</xdr:colOff>
      <xdr:row>5</xdr:row>
      <xdr:rowOff>66675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2598B544-B6FC-4F83-8991-7C0066CF8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8279" y="0"/>
          <a:ext cx="1645921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409574</xdr:colOff>
      <xdr:row>3</xdr:row>
      <xdr:rowOff>133350</xdr:rowOff>
    </xdr:from>
    <xdr:to>
      <xdr:col>2</xdr:col>
      <xdr:colOff>838200</xdr:colOff>
      <xdr:row>5</xdr:row>
      <xdr:rowOff>114300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D8DF7434-F08F-4E0F-8467-2F44267B5653}"/>
            </a:ext>
          </a:extLst>
        </xdr:cNvPr>
        <xdr:cNvSpPr txBox="1"/>
      </xdr:nvSpPr>
      <xdr:spPr>
        <a:xfrm>
          <a:off x="409574" y="619125"/>
          <a:ext cx="4895851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pl-PL" sz="1100" b="1">
              <a:solidFill>
                <a:schemeClr val="accent1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rPr>
            <a:t>SKONSOLIDOWANE DANE FINANSOWE GRUPY APATOR OD 1Q 2018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220663</xdr:colOff>
      <xdr:row>4</xdr:row>
      <xdr:rowOff>79375</xdr:rowOff>
    </xdr:from>
    <xdr:to>
      <xdr:col>26</xdr:col>
      <xdr:colOff>394663</xdr:colOff>
      <xdr:row>9</xdr:row>
      <xdr:rowOff>68704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D688480-B751-4430-88B3-2540F8C6A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84263" y="79375"/>
          <a:ext cx="1393200" cy="7513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136813</xdr:colOff>
      <xdr:row>0</xdr:row>
      <xdr:rowOff>0</xdr:rowOff>
    </xdr:from>
    <xdr:to>
      <xdr:col>13</xdr:col>
      <xdr:colOff>312421</xdr:colOff>
      <xdr:row>9</xdr:row>
      <xdr:rowOff>57086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CC7497A3-9140-428F-8C2B-D590D192B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08988" y="0"/>
          <a:ext cx="1394808" cy="7333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69273</xdr:colOff>
      <xdr:row>0</xdr:row>
      <xdr:rowOff>0</xdr:rowOff>
    </xdr:from>
    <xdr:to>
      <xdr:col>19</xdr:col>
      <xdr:colOff>241417</xdr:colOff>
      <xdr:row>4</xdr:row>
      <xdr:rowOff>123761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6E3E34C-C53A-4A3A-8F2A-7BFF9F148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61864" y="0"/>
          <a:ext cx="1403467" cy="747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8660</xdr:colOff>
      <xdr:row>0</xdr:row>
      <xdr:rowOff>0</xdr:rowOff>
    </xdr:from>
    <xdr:to>
      <xdr:col>16</xdr:col>
      <xdr:colOff>459798</xdr:colOff>
      <xdr:row>5</xdr:row>
      <xdr:rowOff>11257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C81C3CF2-65DF-4F53-8C53-3E6A81B36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92" y="0"/>
          <a:ext cx="9845386" cy="790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93108</xdr:colOff>
      <xdr:row>0</xdr:row>
      <xdr:rowOff>0</xdr:rowOff>
    </xdr:from>
    <xdr:to>
      <xdr:col>26</xdr:col>
      <xdr:colOff>262832</xdr:colOff>
      <xdr:row>8</xdr:row>
      <xdr:rowOff>124152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DB177DD-E8C4-459B-B012-A8ACF251E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84715" y="0"/>
          <a:ext cx="1394367" cy="7461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322117</xdr:colOff>
      <xdr:row>4</xdr:row>
      <xdr:rowOff>19050</xdr:rowOff>
    </xdr:from>
    <xdr:to>
      <xdr:col>14</xdr:col>
      <xdr:colOff>496117</xdr:colOff>
      <xdr:row>8</xdr:row>
      <xdr:rowOff>144247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1FBB499-C8BC-4EB9-AB7A-A10F7A559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41967" y="19050"/>
          <a:ext cx="1393200" cy="7347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148936</xdr:colOff>
      <xdr:row>4</xdr:row>
      <xdr:rowOff>114300</xdr:rowOff>
    </xdr:from>
    <xdr:to>
      <xdr:col>25</xdr:col>
      <xdr:colOff>27661</xdr:colOff>
      <xdr:row>9</xdr:row>
      <xdr:rowOff>80656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EB8B3E2-127D-4D35-9BB1-5950F1D4A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36836" y="114300"/>
          <a:ext cx="1393200" cy="7283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61479</xdr:colOff>
      <xdr:row>4</xdr:row>
      <xdr:rowOff>76200</xdr:rowOff>
    </xdr:from>
    <xdr:to>
      <xdr:col>37</xdr:col>
      <xdr:colOff>638175</xdr:colOff>
      <xdr:row>9</xdr:row>
      <xdr:rowOff>16537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B98F6325-F65D-4788-BD41-964AB039E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88404" y="76200"/>
          <a:ext cx="1186296" cy="702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236537</xdr:colOff>
      <xdr:row>4</xdr:row>
      <xdr:rowOff>57150</xdr:rowOff>
    </xdr:from>
    <xdr:to>
      <xdr:col>26</xdr:col>
      <xdr:colOff>410537</xdr:colOff>
      <xdr:row>9</xdr:row>
      <xdr:rowOff>47331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E870F16-FEE5-4075-8FB5-5E623D1B4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9662" y="57150"/>
          <a:ext cx="1393200" cy="7521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373063</xdr:colOff>
      <xdr:row>4</xdr:row>
      <xdr:rowOff>85725</xdr:rowOff>
    </xdr:from>
    <xdr:to>
      <xdr:col>26</xdr:col>
      <xdr:colOff>547063</xdr:colOff>
      <xdr:row>9</xdr:row>
      <xdr:rowOff>75054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13835DB-64EB-4CAB-A617-AF3DB8643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6663" y="85725"/>
          <a:ext cx="1393200" cy="7513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D4665-1F70-4279-9F3C-9F237088C0F3}">
  <sheetPr>
    <tabColor theme="4" tint="-0.249977111117893"/>
  </sheetPr>
  <dimension ref="A7:D25"/>
  <sheetViews>
    <sheetView showGridLines="0" topLeftCell="B1" zoomScaleNormal="100" workbookViewId="0">
      <selection activeCell="B8" sqref="B8"/>
    </sheetView>
  </sheetViews>
  <sheetFormatPr defaultColWidth="0" defaultRowHeight="12.75" x14ac:dyDescent="0.2"/>
  <cols>
    <col min="1" max="1" width="2.140625" hidden="1" customWidth="1"/>
    <col min="2" max="2" width="67" customWidth="1"/>
    <col min="3" max="3" width="16.140625" customWidth="1"/>
    <col min="4" max="4" width="20.85546875" customWidth="1"/>
    <col min="5" max="16384" width="9.140625" hidden="1"/>
  </cols>
  <sheetData>
    <row r="7" spans="2:3" s="96" customFormat="1" ht="15" x14ac:dyDescent="0.2">
      <c r="B7" s="117" t="s">
        <v>297</v>
      </c>
      <c r="C7" s="118"/>
    </row>
    <row r="8" spans="2:3" s="96" customFormat="1" ht="15" x14ac:dyDescent="0.2">
      <c r="B8" s="117" t="s">
        <v>290</v>
      </c>
      <c r="C8" s="118"/>
    </row>
    <row r="9" spans="2:3" s="96" customFormat="1" ht="15" x14ac:dyDescent="0.2">
      <c r="B9" s="117" t="s">
        <v>291</v>
      </c>
      <c r="C9" s="118"/>
    </row>
    <row r="10" spans="2:3" s="96" customFormat="1" ht="15" x14ac:dyDescent="0.2">
      <c r="B10" s="117" t="s">
        <v>292</v>
      </c>
      <c r="C10" s="118"/>
    </row>
    <row r="11" spans="2:3" s="96" customFormat="1" ht="15" x14ac:dyDescent="0.2">
      <c r="B11" s="117" t="s">
        <v>293</v>
      </c>
      <c r="C11" s="118"/>
    </row>
    <row r="12" spans="2:3" s="155" customFormat="1" ht="15" x14ac:dyDescent="0.2">
      <c r="B12" s="153" t="s">
        <v>294</v>
      </c>
      <c r="C12" s="154"/>
    </row>
    <row r="13" spans="2:3" s="155" customFormat="1" ht="15" x14ac:dyDescent="0.2">
      <c r="B13" s="153" t="s">
        <v>295</v>
      </c>
      <c r="C13" s="154"/>
    </row>
    <row r="14" spans="2:3" s="155" customFormat="1" ht="15" x14ac:dyDescent="0.2">
      <c r="B14" s="153" t="s">
        <v>296</v>
      </c>
      <c r="C14" s="154"/>
    </row>
    <row r="15" spans="2:3" s="95" customFormat="1" ht="12" x14ac:dyDescent="0.2"/>
    <row r="16" spans="2:3" s="95" customFormat="1" ht="12" x14ac:dyDescent="0.2"/>
    <row r="17" spans="2:4" s="95" customFormat="1" ht="12" x14ac:dyDescent="0.2"/>
    <row r="18" spans="2:4" s="95" customFormat="1" ht="54" customHeight="1" x14ac:dyDescent="0.2">
      <c r="B18" s="174" t="s">
        <v>289</v>
      </c>
      <c r="C18" s="175"/>
      <c r="D18" s="175"/>
    </row>
    <row r="19" spans="2:4" s="95" customFormat="1" ht="12" x14ac:dyDescent="0.2"/>
    <row r="20" spans="2:4" s="95" customFormat="1" ht="12" x14ac:dyDescent="0.2"/>
    <row r="21" spans="2:4" s="95" customFormat="1" ht="12" x14ac:dyDescent="0.2"/>
    <row r="22" spans="2:4" s="95" customFormat="1" ht="12" x14ac:dyDescent="0.2"/>
    <row r="23" spans="2:4" s="95" customFormat="1" ht="12" x14ac:dyDescent="0.2"/>
    <row r="24" spans="2:4" s="95" customFormat="1" ht="12" x14ac:dyDescent="0.2"/>
    <row r="25" spans="2:4" x14ac:dyDescent="0.2">
      <c r="B25" s="125"/>
    </row>
  </sheetData>
  <mergeCells count="1">
    <mergeCell ref="B18:D18"/>
  </mergeCells>
  <hyperlinks>
    <hyperlink ref="B9" location="BS!A1" display="2. Sprawozdanie z sytuacji finansowej" xr:uid="{8B5C3A3A-22F2-4C13-9701-3274CC795E28}"/>
    <hyperlink ref="B10" location="CF!Obszar_wydruku" display="3. Rachunek przepływów pieniężnych" xr:uid="{0A870F24-96EC-4156-9A7B-DFF7DA3D2283}"/>
    <hyperlink ref="B12" location="EE!Obszar_wydruku" display="4.1 Energia Elektryczna" xr:uid="{38115310-483D-445B-B30C-CEFDC1B54F20}"/>
    <hyperlink ref="B13" location="GAZ!Obszar_wydruku" display="4.2 Gaz" xr:uid="{9C8F637A-3AD0-4D8D-AA39-65AEDBEC8F7F}"/>
    <hyperlink ref="B14" location="'W&amp;H'!Obszar_wydruku" display="4.3 Woda i Ciepło" xr:uid="{2BA42804-8CE0-4664-B96E-92C679DD421A}"/>
    <hyperlink ref="B7" location="Summary!Obszar_wydruku" display="1. Summary" xr:uid="{1311B13F-0E96-473E-B881-D1CCB8C2E8FC}"/>
    <hyperlink ref="B8" location="'P&amp;L(y)'!Obszar_wydruku" display="2. Sprawozdanie z całkowitych dochodów" xr:uid="{E31FC395-B72F-49A8-942D-F747905A77B9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FD843-1B83-489C-A3C1-AE832D9C353F}">
  <sheetPr>
    <tabColor theme="4" tint="0.59999389629810485"/>
  </sheetPr>
  <dimension ref="B1:T68"/>
  <sheetViews>
    <sheetView zoomScaleNormal="100" zoomScaleSheetLayoutView="100" workbookViewId="0">
      <pane xSplit="3" ySplit="1" topLeftCell="D32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B2" sqref="B2"/>
    </sheetView>
  </sheetViews>
  <sheetFormatPr defaultColWidth="9.140625" defaultRowHeight="11.1" customHeight="1" outlineLevelCol="1" x14ac:dyDescent="0.2"/>
  <cols>
    <col min="1" max="1" width="2.5703125" style="46" customWidth="1"/>
    <col min="2" max="2" width="2.5703125" style="47" customWidth="1" outlineLevel="1"/>
    <col min="3" max="3" width="54.85546875" style="54" customWidth="1" outlineLevel="1"/>
    <col min="4" max="6" width="10.7109375" style="46" customWidth="1" outlineLevel="1"/>
    <col min="7" max="7" width="16" style="46" customWidth="1" outlineLevel="1"/>
    <col min="8" max="8" width="10" style="46" customWidth="1" outlineLevel="1"/>
    <col min="9" max="9" width="10.7109375" style="46" customWidth="1" outlineLevel="1"/>
    <col min="10" max="10" width="13" style="46" customWidth="1" outlineLevel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s="47" customFormat="1" ht="11.1" customHeight="1" x14ac:dyDescent="0.2">
      <c r="B1" s="48" t="s">
        <v>194</v>
      </c>
      <c r="C1" s="72"/>
      <c r="D1" s="48"/>
      <c r="E1" s="48"/>
      <c r="F1" s="48"/>
      <c r="G1" s="48"/>
      <c r="H1" s="48"/>
      <c r="I1" s="48"/>
      <c r="J1" s="48"/>
      <c r="L1" s="48" t="s">
        <v>194</v>
      </c>
      <c r="M1" s="72"/>
      <c r="N1" s="48"/>
      <c r="O1" s="48"/>
      <c r="P1" s="48"/>
      <c r="Q1" s="48"/>
      <c r="R1" s="48"/>
      <c r="S1" s="48"/>
      <c r="T1" s="48"/>
    </row>
    <row r="2" spans="2:20" s="47" customFormat="1" ht="11.1" customHeight="1" x14ac:dyDescent="0.2">
      <c r="B2" s="97" t="s">
        <v>233</v>
      </c>
      <c r="C2" s="72"/>
      <c r="D2" s="48"/>
      <c r="E2" s="48"/>
      <c r="F2" s="48"/>
      <c r="G2" s="48"/>
      <c r="H2" s="48"/>
      <c r="I2" s="48"/>
      <c r="J2" s="48"/>
      <c r="L2" s="97" t="s">
        <v>233</v>
      </c>
      <c r="M2" s="72"/>
      <c r="N2" s="48"/>
      <c r="O2" s="48"/>
      <c r="P2" s="48"/>
      <c r="Q2" s="48"/>
      <c r="R2" s="48"/>
      <c r="S2" s="48"/>
      <c r="T2" s="48"/>
    </row>
    <row r="3" spans="2:20" ht="11.1" customHeight="1" x14ac:dyDescent="0.2">
      <c r="B3" s="244" t="s">
        <v>59</v>
      </c>
      <c r="C3" s="245"/>
      <c r="D3" s="241" t="s">
        <v>196</v>
      </c>
      <c r="E3" s="241" t="s">
        <v>197</v>
      </c>
      <c r="F3" s="241" t="s">
        <v>198</v>
      </c>
      <c r="G3" s="241" t="s">
        <v>199</v>
      </c>
      <c r="H3" s="241" t="s">
        <v>200</v>
      </c>
      <c r="I3" s="241" t="s">
        <v>201</v>
      </c>
      <c r="J3" s="241" t="s">
        <v>202</v>
      </c>
      <c r="K3" s="47"/>
      <c r="L3" s="244" t="s">
        <v>59</v>
      </c>
      <c r="M3" s="245"/>
      <c r="N3" s="241" t="s">
        <v>196</v>
      </c>
      <c r="O3" s="241" t="s">
        <v>197</v>
      </c>
      <c r="P3" s="241" t="s">
        <v>198</v>
      </c>
      <c r="Q3" s="241" t="s">
        <v>199</v>
      </c>
      <c r="R3" s="241" t="s">
        <v>200</v>
      </c>
      <c r="S3" s="241" t="s">
        <v>201</v>
      </c>
      <c r="T3" s="241" t="s">
        <v>202</v>
      </c>
    </row>
    <row r="4" spans="2:20" ht="11.1" customHeight="1" x14ac:dyDescent="0.2">
      <c r="B4" s="246"/>
      <c r="C4" s="247"/>
      <c r="D4" s="242"/>
      <c r="E4" s="242"/>
      <c r="F4" s="242"/>
      <c r="G4" s="242"/>
      <c r="H4" s="242"/>
      <c r="I4" s="242"/>
      <c r="J4" s="243"/>
      <c r="K4" s="47"/>
      <c r="L4" s="246"/>
      <c r="M4" s="247"/>
      <c r="N4" s="242"/>
      <c r="O4" s="242"/>
      <c r="P4" s="242"/>
      <c r="Q4" s="242"/>
      <c r="R4" s="242"/>
      <c r="S4" s="242"/>
      <c r="T4" s="243"/>
    </row>
    <row r="5" spans="2:20" ht="11.1" customHeight="1" x14ac:dyDescent="0.2">
      <c r="B5" s="248" t="s">
        <v>203</v>
      </c>
      <c r="C5" s="249"/>
      <c r="D5" s="249"/>
      <c r="E5" s="249"/>
      <c r="F5" s="249"/>
      <c r="G5" s="249"/>
      <c r="H5" s="73"/>
      <c r="I5" s="73"/>
      <c r="J5" s="74"/>
      <c r="K5" s="47"/>
      <c r="L5" s="248" t="s">
        <v>203</v>
      </c>
      <c r="M5" s="249"/>
      <c r="N5" s="249"/>
      <c r="O5" s="249"/>
      <c r="P5" s="249"/>
      <c r="Q5" s="249"/>
      <c r="R5" s="73"/>
      <c r="S5" s="73"/>
      <c r="T5" s="74"/>
    </row>
    <row r="6" spans="2:20" ht="11.1" customHeight="1" x14ac:dyDescent="0.2">
      <c r="B6" s="238" t="s">
        <v>204</v>
      </c>
      <c r="C6" s="238"/>
      <c r="D6" s="52">
        <v>95083</v>
      </c>
      <c r="E6" s="52">
        <v>56702</v>
      </c>
      <c r="F6" s="52">
        <v>60694</v>
      </c>
      <c r="G6" s="52">
        <v>0</v>
      </c>
      <c r="H6" s="52">
        <f>SUM(D6:G6)</f>
        <v>212479</v>
      </c>
      <c r="I6" s="52"/>
      <c r="J6" s="52">
        <f t="shared" ref="J6:J17" si="0">H6+I6</f>
        <v>212479</v>
      </c>
      <c r="K6" s="47"/>
      <c r="L6" s="238" t="s">
        <v>204</v>
      </c>
      <c r="M6" s="238"/>
      <c r="N6" s="52">
        <v>95083</v>
      </c>
      <c r="O6" s="52">
        <v>56702</v>
      </c>
      <c r="P6" s="52">
        <v>60694</v>
      </c>
      <c r="Q6" s="52">
        <v>0</v>
      </c>
      <c r="R6" s="52">
        <f>SUM(N6:Q6)</f>
        <v>212479</v>
      </c>
      <c r="S6" s="52"/>
      <c r="T6" s="52">
        <f t="shared" ref="T6:T17" si="1">R6+S6</f>
        <v>212479</v>
      </c>
    </row>
    <row r="7" spans="2:20" ht="11.1" customHeight="1" x14ac:dyDescent="0.2">
      <c r="B7" s="238" t="s">
        <v>33</v>
      </c>
      <c r="C7" s="238"/>
      <c r="D7" s="52">
        <v>69117</v>
      </c>
      <c r="E7" s="52">
        <v>42503</v>
      </c>
      <c r="F7" s="52">
        <v>37488</v>
      </c>
      <c r="G7" s="52">
        <v>0</v>
      </c>
      <c r="H7" s="52">
        <f t="shared" ref="H7:H17" si="2">SUM(D7:G7)</f>
        <v>149108</v>
      </c>
      <c r="I7" s="52"/>
      <c r="J7" s="52">
        <f t="shared" si="0"/>
        <v>149108</v>
      </c>
      <c r="K7" s="47"/>
      <c r="L7" s="238" t="s">
        <v>33</v>
      </c>
      <c r="M7" s="238"/>
      <c r="N7" s="52">
        <v>69117</v>
      </c>
      <c r="O7" s="52">
        <v>42503</v>
      </c>
      <c r="P7" s="52">
        <v>37488</v>
      </c>
      <c r="Q7" s="52">
        <v>0</v>
      </c>
      <c r="R7" s="52">
        <f t="shared" ref="R7:R17" si="3">SUM(N7:Q7)</f>
        <v>149108</v>
      </c>
      <c r="S7" s="52"/>
      <c r="T7" s="52">
        <f t="shared" si="1"/>
        <v>149108</v>
      </c>
    </row>
    <row r="8" spans="2:20" ht="11.1" customHeight="1" x14ac:dyDescent="0.2">
      <c r="B8" s="232" t="s">
        <v>205</v>
      </c>
      <c r="C8" s="232"/>
      <c r="D8" s="49">
        <f>D6-D7</f>
        <v>25966</v>
      </c>
      <c r="E8" s="49">
        <f>E6-E7</f>
        <v>14199</v>
      </c>
      <c r="F8" s="49">
        <f>F6-F7</f>
        <v>23206</v>
      </c>
      <c r="G8" s="49">
        <f>G6-G7</f>
        <v>0</v>
      </c>
      <c r="H8" s="49">
        <f t="shared" si="2"/>
        <v>63371</v>
      </c>
      <c r="I8" s="49">
        <f>I6-I7</f>
        <v>0</v>
      </c>
      <c r="J8" s="49">
        <f t="shared" si="0"/>
        <v>63371</v>
      </c>
      <c r="K8" s="47"/>
      <c r="L8" s="232" t="s">
        <v>205</v>
      </c>
      <c r="M8" s="232"/>
      <c r="N8" s="49">
        <f>N6-N7</f>
        <v>25966</v>
      </c>
      <c r="O8" s="49">
        <f>O6-O7</f>
        <v>14199</v>
      </c>
      <c r="P8" s="49">
        <f>P6-P7</f>
        <v>23206</v>
      </c>
      <c r="Q8" s="49">
        <f>Q6-Q7</f>
        <v>0</v>
      </c>
      <c r="R8" s="49">
        <f t="shared" si="3"/>
        <v>63371</v>
      </c>
      <c r="S8" s="49">
        <f>S6-S7</f>
        <v>0</v>
      </c>
      <c r="T8" s="49">
        <f t="shared" si="1"/>
        <v>63371</v>
      </c>
    </row>
    <row r="9" spans="2:20" ht="11.1" customHeight="1" x14ac:dyDescent="0.2">
      <c r="B9" s="235" t="s">
        <v>4</v>
      </c>
      <c r="C9" s="236"/>
      <c r="D9" s="52">
        <v>3538</v>
      </c>
      <c r="E9" s="52">
        <v>1265</v>
      </c>
      <c r="F9" s="52">
        <v>3924</v>
      </c>
      <c r="G9" s="52">
        <v>80.31</v>
      </c>
      <c r="H9" s="52">
        <f t="shared" si="2"/>
        <v>8807.31</v>
      </c>
      <c r="I9" s="52"/>
      <c r="J9" s="52">
        <f t="shared" si="0"/>
        <v>8807.31</v>
      </c>
      <c r="K9" s="47"/>
      <c r="L9" s="235" t="s">
        <v>4</v>
      </c>
      <c r="M9" s="236"/>
      <c r="N9" s="52">
        <v>3538</v>
      </c>
      <c r="O9" s="52">
        <v>1265</v>
      </c>
      <c r="P9" s="52">
        <v>3924</v>
      </c>
      <c r="Q9" s="52">
        <v>80.31</v>
      </c>
      <c r="R9" s="52">
        <f t="shared" si="3"/>
        <v>8807.31</v>
      </c>
      <c r="S9" s="52"/>
      <c r="T9" s="52">
        <f t="shared" si="1"/>
        <v>8807.31</v>
      </c>
    </row>
    <row r="10" spans="2:20" ht="11.1" customHeight="1" x14ac:dyDescent="0.2">
      <c r="B10" s="235" t="s">
        <v>5</v>
      </c>
      <c r="C10" s="236"/>
      <c r="D10" s="52">
        <v>15004</v>
      </c>
      <c r="E10" s="52">
        <v>6467</v>
      </c>
      <c r="F10" s="52">
        <v>10172</v>
      </c>
      <c r="G10" s="52">
        <v>580</v>
      </c>
      <c r="H10" s="52">
        <f t="shared" si="2"/>
        <v>32223</v>
      </c>
      <c r="I10" s="52"/>
      <c r="J10" s="52">
        <f t="shared" si="0"/>
        <v>32223</v>
      </c>
      <c r="K10" s="47"/>
      <c r="L10" s="235" t="s">
        <v>5</v>
      </c>
      <c r="M10" s="236"/>
      <c r="N10" s="52">
        <v>15004</v>
      </c>
      <c r="O10" s="52">
        <v>6467</v>
      </c>
      <c r="P10" s="52">
        <v>10172</v>
      </c>
      <c r="Q10" s="52">
        <v>580</v>
      </c>
      <c r="R10" s="52">
        <f t="shared" si="3"/>
        <v>32223</v>
      </c>
      <c r="S10" s="52"/>
      <c r="T10" s="52">
        <f t="shared" si="1"/>
        <v>32223</v>
      </c>
    </row>
    <row r="11" spans="2:20" ht="11.1" customHeight="1" x14ac:dyDescent="0.2">
      <c r="B11" s="232" t="s">
        <v>206</v>
      </c>
      <c r="C11" s="232"/>
      <c r="D11" s="49">
        <f>D8-D9-D10</f>
        <v>7424</v>
      </c>
      <c r="E11" s="49">
        <f>E8-E9-E10</f>
        <v>6467</v>
      </c>
      <c r="F11" s="49">
        <f>F8-F9-F10</f>
        <v>9110</v>
      </c>
      <c r="G11" s="49">
        <f>G8-G9-G10</f>
        <v>-660.31</v>
      </c>
      <c r="H11" s="49">
        <f t="shared" si="2"/>
        <v>22340.69</v>
      </c>
      <c r="I11" s="49">
        <f>I8-I9-I10</f>
        <v>0</v>
      </c>
      <c r="J11" s="49">
        <f t="shared" si="0"/>
        <v>22340.69</v>
      </c>
      <c r="K11" s="47"/>
      <c r="L11" s="232" t="s">
        <v>206</v>
      </c>
      <c r="M11" s="232"/>
      <c r="N11" s="49">
        <f>N8-N9-N10</f>
        <v>7424</v>
      </c>
      <c r="O11" s="49">
        <f>O8-O9-O10</f>
        <v>6467</v>
      </c>
      <c r="P11" s="49">
        <f>P8-P9-P10</f>
        <v>9110</v>
      </c>
      <c r="Q11" s="49">
        <f>Q8-Q9-Q10</f>
        <v>-660.31</v>
      </c>
      <c r="R11" s="49">
        <f t="shared" si="3"/>
        <v>22340.69</v>
      </c>
      <c r="S11" s="49">
        <f>S8-S9-S10</f>
        <v>0</v>
      </c>
      <c r="T11" s="49">
        <f t="shared" si="1"/>
        <v>22340.69</v>
      </c>
    </row>
    <row r="12" spans="2:20" ht="11.1" customHeight="1" x14ac:dyDescent="0.2">
      <c r="B12" s="235" t="s">
        <v>207</v>
      </c>
      <c r="C12" s="236"/>
      <c r="D12" s="52">
        <v>-252</v>
      </c>
      <c r="E12" s="52">
        <v>-76</v>
      </c>
      <c r="F12" s="52">
        <v>-629</v>
      </c>
      <c r="G12" s="52">
        <v>0</v>
      </c>
      <c r="H12" s="52">
        <f t="shared" si="2"/>
        <v>-957</v>
      </c>
      <c r="I12" s="52">
        <v>0</v>
      </c>
      <c r="J12" s="52">
        <f t="shared" si="0"/>
        <v>-957</v>
      </c>
      <c r="K12" s="47"/>
      <c r="L12" s="235" t="s">
        <v>207</v>
      </c>
      <c r="M12" s="236"/>
      <c r="N12" s="52">
        <v>-252</v>
      </c>
      <c r="O12" s="52">
        <v>-76</v>
      </c>
      <c r="P12" s="52">
        <v>-629</v>
      </c>
      <c r="Q12" s="52">
        <v>0</v>
      </c>
      <c r="R12" s="52">
        <f t="shared" si="3"/>
        <v>-957</v>
      </c>
      <c r="S12" s="52">
        <v>0</v>
      </c>
      <c r="T12" s="52">
        <f t="shared" si="1"/>
        <v>-957</v>
      </c>
    </row>
    <row r="13" spans="2:20" ht="11.1" customHeight="1" x14ac:dyDescent="0.2">
      <c r="B13" s="237" t="s">
        <v>208</v>
      </c>
      <c r="C13" s="236"/>
      <c r="D13" s="52">
        <v>0</v>
      </c>
      <c r="E13" s="52">
        <v>0</v>
      </c>
      <c r="F13" s="52">
        <v>235</v>
      </c>
      <c r="G13" s="52">
        <v>0</v>
      </c>
      <c r="H13" s="52">
        <f t="shared" si="2"/>
        <v>235</v>
      </c>
      <c r="I13" s="52"/>
      <c r="J13" s="52">
        <f t="shared" si="0"/>
        <v>235</v>
      </c>
      <c r="K13" s="47"/>
      <c r="L13" s="237" t="s">
        <v>208</v>
      </c>
      <c r="M13" s="236"/>
      <c r="N13" s="52">
        <v>0</v>
      </c>
      <c r="O13" s="52">
        <v>0</v>
      </c>
      <c r="P13" s="52">
        <v>235</v>
      </c>
      <c r="Q13" s="52">
        <v>0</v>
      </c>
      <c r="R13" s="52">
        <f t="shared" si="3"/>
        <v>235</v>
      </c>
      <c r="S13" s="52"/>
      <c r="T13" s="52">
        <f t="shared" si="1"/>
        <v>235</v>
      </c>
    </row>
    <row r="14" spans="2:20" ht="11.1" customHeight="1" x14ac:dyDescent="0.2">
      <c r="B14" s="237" t="s">
        <v>27</v>
      </c>
      <c r="C14" s="236"/>
      <c r="D14" s="52"/>
      <c r="E14" s="52"/>
      <c r="F14" s="52"/>
      <c r="G14" s="52"/>
      <c r="H14" s="52">
        <f t="shared" si="2"/>
        <v>0</v>
      </c>
      <c r="I14" s="52">
        <v>0</v>
      </c>
      <c r="J14" s="52">
        <f t="shared" si="0"/>
        <v>0</v>
      </c>
      <c r="K14" s="47"/>
      <c r="L14" s="237" t="s">
        <v>27</v>
      </c>
      <c r="M14" s="236"/>
      <c r="N14" s="52"/>
      <c r="O14" s="52"/>
      <c r="P14" s="52"/>
      <c r="Q14" s="52"/>
      <c r="R14" s="52">
        <f t="shared" si="3"/>
        <v>0</v>
      </c>
      <c r="S14" s="52">
        <v>0</v>
      </c>
      <c r="T14" s="52">
        <f t="shared" si="1"/>
        <v>0</v>
      </c>
    </row>
    <row r="15" spans="2:20" ht="11.1" customHeight="1" x14ac:dyDescent="0.2">
      <c r="B15" s="232" t="s">
        <v>209</v>
      </c>
      <c r="C15" s="232"/>
      <c r="D15" s="49">
        <f t="shared" ref="D15:G15" si="4">D11+D12+D13+D14</f>
        <v>7172</v>
      </c>
      <c r="E15" s="49">
        <f t="shared" si="4"/>
        <v>6391</v>
      </c>
      <c r="F15" s="49">
        <f t="shared" si="4"/>
        <v>8716</v>
      </c>
      <c r="G15" s="49">
        <f t="shared" si="4"/>
        <v>-660.31</v>
      </c>
      <c r="H15" s="49">
        <f t="shared" si="2"/>
        <v>21618.69</v>
      </c>
      <c r="I15" s="49">
        <f>I11+I12+I14</f>
        <v>0</v>
      </c>
      <c r="J15" s="49">
        <f t="shared" si="0"/>
        <v>21618.69</v>
      </c>
      <c r="K15" s="47"/>
      <c r="L15" s="232" t="s">
        <v>209</v>
      </c>
      <c r="M15" s="232"/>
      <c r="N15" s="49">
        <f t="shared" ref="N15:Q15" si="5">N11+N12+N13+N14</f>
        <v>7172</v>
      </c>
      <c r="O15" s="49">
        <f t="shared" si="5"/>
        <v>6391</v>
      </c>
      <c r="P15" s="49">
        <f t="shared" si="5"/>
        <v>8716</v>
      </c>
      <c r="Q15" s="49">
        <f t="shared" si="5"/>
        <v>-660.31</v>
      </c>
      <c r="R15" s="49">
        <f t="shared" si="3"/>
        <v>21618.69</v>
      </c>
      <c r="S15" s="49">
        <f>S11+S12+S14</f>
        <v>0</v>
      </c>
      <c r="T15" s="49">
        <f t="shared" si="1"/>
        <v>21618.69</v>
      </c>
    </row>
    <row r="16" spans="2:20" ht="11.1" customHeight="1" x14ac:dyDescent="0.2">
      <c r="B16" s="75" t="s">
        <v>22</v>
      </c>
      <c r="C16" s="76"/>
      <c r="D16" s="49">
        <v>5964</v>
      </c>
      <c r="E16" s="49">
        <v>3369</v>
      </c>
      <c r="F16" s="49">
        <v>2363</v>
      </c>
      <c r="G16" s="49">
        <v>0</v>
      </c>
      <c r="H16" s="49">
        <f t="shared" si="2"/>
        <v>11696</v>
      </c>
      <c r="I16" s="49">
        <v>0</v>
      </c>
      <c r="J16" s="49">
        <f t="shared" si="0"/>
        <v>11696</v>
      </c>
      <c r="K16" s="47"/>
      <c r="L16" s="75" t="s">
        <v>22</v>
      </c>
      <c r="M16" s="76"/>
      <c r="N16" s="49">
        <v>5964</v>
      </c>
      <c r="O16" s="49">
        <v>3369</v>
      </c>
      <c r="P16" s="49">
        <v>2363</v>
      </c>
      <c r="Q16" s="49">
        <v>0</v>
      </c>
      <c r="R16" s="49">
        <f t="shared" si="3"/>
        <v>11696</v>
      </c>
      <c r="S16" s="49">
        <v>0</v>
      </c>
      <c r="T16" s="49">
        <f t="shared" si="1"/>
        <v>11696</v>
      </c>
    </row>
    <row r="17" spans="2:20" ht="11.1" customHeight="1" x14ac:dyDescent="0.2">
      <c r="B17" s="233" t="s">
        <v>23</v>
      </c>
      <c r="C17" s="234"/>
      <c r="D17" s="49">
        <f>D15+D16</f>
        <v>13136</v>
      </c>
      <c r="E17" s="49">
        <f t="shared" ref="E17:G17" si="6">E15+E16</f>
        <v>9760</v>
      </c>
      <c r="F17" s="49">
        <f t="shared" si="6"/>
        <v>11079</v>
      </c>
      <c r="G17" s="49">
        <f t="shared" si="6"/>
        <v>-660.31</v>
      </c>
      <c r="H17" s="49">
        <f t="shared" si="2"/>
        <v>33314.69</v>
      </c>
      <c r="I17" s="49">
        <f>I15+I16</f>
        <v>0</v>
      </c>
      <c r="J17" s="49">
        <f t="shared" si="0"/>
        <v>33314.69</v>
      </c>
      <c r="K17" s="47"/>
      <c r="L17" s="233" t="s">
        <v>23</v>
      </c>
      <c r="M17" s="234"/>
      <c r="N17" s="49">
        <f>N15+N16</f>
        <v>13136</v>
      </c>
      <c r="O17" s="49">
        <f t="shared" ref="O17:Q17" si="7">O15+O16</f>
        <v>9760</v>
      </c>
      <c r="P17" s="49">
        <f t="shared" si="7"/>
        <v>11079</v>
      </c>
      <c r="Q17" s="49">
        <f t="shared" si="7"/>
        <v>-660.31</v>
      </c>
      <c r="R17" s="49">
        <f t="shared" si="3"/>
        <v>33314.69</v>
      </c>
      <c r="S17" s="49">
        <f>S15+S16</f>
        <v>0</v>
      </c>
      <c r="T17" s="49">
        <f t="shared" si="1"/>
        <v>33314.69</v>
      </c>
    </row>
    <row r="18" spans="2:20" ht="11.1" customHeight="1" x14ac:dyDescent="0.2">
      <c r="B18" s="83"/>
      <c r="C18" s="83"/>
      <c r="D18" s="84"/>
      <c r="E18" s="84"/>
      <c r="F18" s="84"/>
      <c r="G18" s="84"/>
      <c r="H18" s="84"/>
      <c r="I18" s="84"/>
      <c r="J18" s="84"/>
      <c r="K18" s="47"/>
      <c r="L18" s="83"/>
      <c r="M18" s="83"/>
      <c r="N18" s="84"/>
      <c r="O18" s="84"/>
      <c r="P18" s="84"/>
      <c r="Q18" s="84"/>
      <c r="R18" s="84"/>
      <c r="S18" s="84"/>
      <c r="T18" s="84"/>
    </row>
    <row r="19" spans="2:20" s="47" customFormat="1" ht="11.1" customHeight="1" x14ac:dyDescent="0.2">
      <c r="B19" s="79"/>
      <c r="C19" s="80"/>
      <c r="D19" s="79"/>
      <c r="E19" s="79"/>
      <c r="F19" s="79"/>
      <c r="G19" s="79"/>
      <c r="H19" s="79"/>
      <c r="I19" s="79"/>
      <c r="J19" s="79"/>
      <c r="L19" s="79"/>
      <c r="M19" s="80"/>
      <c r="N19" s="79"/>
      <c r="O19" s="79"/>
      <c r="P19" s="79"/>
      <c r="Q19" s="79"/>
      <c r="R19" s="79"/>
      <c r="S19" s="79"/>
      <c r="T19" s="79"/>
    </row>
    <row r="20" spans="2:20" s="47" customFormat="1" ht="11.1" customHeight="1" x14ac:dyDescent="0.2">
      <c r="B20" s="244" t="s">
        <v>59</v>
      </c>
      <c r="C20" s="245"/>
      <c r="D20" s="241" t="s">
        <v>196</v>
      </c>
      <c r="E20" s="241" t="s">
        <v>197</v>
      </c>
      <c r="F20" s="241" t="s">
        <v>198</v>
      </c>
      <c r="G20" s="241" t="s">
        <v>199</v>
      </c>
      <c r="H20" s="241" t="s">
        <v>200</v>
      </c>
      <c r="I20" s="241" t="s">
        <v>201</v>
      </c>
      <c r="J20" s="241" t="s">
        <v>202</v>
      </c>
      <c r="L20" s="244" t="s">
        <v>59</v>
      </c>
      <c r="M20" s="245"/>
      <c r="N20" s="241" t="s">
        <v>196</v>
      </c>
      <c r="O20" s="241" t="s">
        <v>197</v>
      </c>
      <c r="P20" s="241" t="s">
        <v>198</v>
      </c>
      <c r="Q20" s="241" t="s">
        <v>199</v>
      </c>
      <c r="R20" s="241" t="s">
        <v>200</v>
      </c>
      <c r="S20" s="241" t="s">
        <v>201</v>
      </c>
      <c r="T20" s="241" t="s">
        <v>202</v>
      </c>
    </row>
    <row r="21" spans="2:20" s="47" customFormat="1" ht="11.1" customHeight="1" x14ac:dyDescent="0.2">
      <c r="B21" s="246"/>
      <c r="C21" s="247"/>
      <c r="D21" s="242"/>
      <c r="E21" s="242"/>
      <c r="F21" s="242"/>
      <c r="G21" s="242"/>
      <c r="H21" s="242"/>
      <c r="I21" s="242"/>
      <c r="J21" s="243"/>
      <c r="L21" s="246"/>
      <c r="M21" s="247"/>
      <c r="N21" s="242"/>
      <c r="O21" s="242"/>
      <c r="P21" s="242"/>
      <c r="Q21" s="242"/>
      <c r="R21" s="242"/>
      <c r="S21" s="242"/>
      <c r="T21" s="243"/>
    </row>
    <row r="22" spans="2:20" s="47" customFormat="1" ht="11.1" customHeight="1" x14ac:dyDescent="0.2">
      <c r="B22" s="248" t="s">
        <v>211</v>
      </c>
      <c r="C22" s="249"/>
      <c r="D22" s="249"/>
      <c r="E22" s="249"/>
      <c r="F22" s="249"/>
      <c r="G22" s="249"/>
      <c r="H22" s="73"/>
      <c r="I22" s="73"/>
      <c r="J22" s="74"/>
      <c r="L22" s="248" t="s">
        <v>212</v>
      </c>
      <c r="M22" s="249"/>
      <c r="N22" s="249"/>
      <c r="O22" s="249"/>
      <c r="P22" s="249"/>
      <c r="Q22" s="249"/>
      <c r="R22" s="73"/>
      <c r="S22" s="73"/>
      <c r="T22" s="74"/>
    </row>
    <row r="23" spans="2:20" s="47" customFormat="1" ht="11.1" customHeight="1" x14ac:dyDescent="0.2">
      <c r="B23" s="238" t="s">
        <v>204</v>
      </c>
      <c r="C23" s="238"/>
      <c r="D23" s="52">
        <v>185111</v>
      </c>
      <c r="E23" s="52">
        <v>111219</v>
      </c>
      <c r="F23" s="52">
        <v>126931</v>
      </c>
      <c r="G23" s="52">
        <v>0</v>
      </c>
      <c r="H23" s="52">
        <f>SUM(D23:G23)</f>
        <v>423261</v>
      </c>
      <c r="I23" s="52"/>
      <c r="J23" s="52">
        <f t="shared" ref="J23:J34" si="8">H23+I23</f>
        <v>423261</v>
      </c>
      <c r="L23" s="238" t="s">
        <v>204</v>
      </c>
      <c r="M23" s="238"/>
      <c r="N23" s="52">
        <f t="shared" ref="N23:Q24" si="9">D23-D6</f>
        <v>90028</v>
      </c>
      <c r="O23" s="52">
        <f t="shared" si="9"/>
        <v>54517</v>
      </c>
      <c r="P23" s="52">
        <f t="shared" si="9"/>
        <v>66237</v>
      </c>
      <c r="Q23" s="52">
        <f t="shared" si="9"/>
        <v>0</v>
      </c>
      <c r="R23" s="52">
        <f>SUM(N23:Q23)</f>
        <v>210782</v>
      </c>
      <c r="S23" s="52">
        <f>I23-I6</f>
        <v>0</v>
      </c>
      <c r="T23" s="52">
        <f t="shared" ref="T23:T34" si="10">R23+S23</f>
        <v>210782</v>
      </c>
    </row>
    <row r="24" spans="2:20" s="47" customFormat="1" ht="11.1" customHeight="1" x14ac:dyDescent="0.2">
      <c r="B24" s="238" t="s">
        <v>33</v>
      </c>
      <c r="C24" s="238"/>
      <c r="D24" s="52">
        <v>133948</v>
      </c>
      <c r="E24" s="52">
        <v>85218</v>
      </c>
      <c r="F24" s="52">
        <v>77804</v>
      </c>
      <c r="G24" s="52">
        <v>0</v>
      </c>
      <c r="H24" s="52">
        <f t="shared" ref="H24:H34" si="11">SUM(D24:G24)</f>
        <v>296970</v>
      </c>
      <c r="I24" s="52"/>
      <c r="J24" s="52">
        <f t="shared" si="8"/>
        <v>296970</v>
      </c>
      <c r="L24" s="238" t="s">
        <v>33</v>
      </c>
      <c r="M24" s="238"/>
      <c r="N24" s="52">
        <f t="shared" si="9"/>
        <v>64831</v>
      </c>
      <c r="O24" s="52">
        <f t="shared" si="9"/>
        <v>42715</v>
      </c>
      <c r="P24" s="52">
        <f t="shared" si="9"/>
        <v>40316</v>
      </c>
      <c r="Q24" s="52">
        <f t="shared" si="9"/>
        <v>0</v>
      </c>
      <c r="R24" s="52">
        <f t="shared" ref="R24:R34" si="12">SUM(N24:Q24)</f>
        <v>147862</v>
      </c>
      <c r="S24" s="52">
        <f>I24-I7</f>
        <v>0</v>
      </c>
      <c r="T24" s="52">
        <f t="shared" si="10"/>
        <v>147862</v>
      </c>
    </row>
    <row r="25" spans="2:20" s="47" customFormat="1" ht="11.1" customHeight="1" x14ac:dyDescent="0.2">
      <c r="B25" s="232" t="s">
        <v>205</v>
      </c>
      <c r="C25" s="232"/>
      <c r="D25" s="49">
        <f>D23-D24</f>
        <v>51163</v>
      </c>
      <c r="E25" s="49">
        <f>E23-E24</f>
        <v>26001</v>
      </c>
      <c r="F25" s="49">
        <f>F23-F24</f>
        <v>49127</v>
      </c>
      <c r="G25" s="49">
        <f>G23-G24</f>
        <v>0</v>
      </c>
      <c r="H25" s="49">
        <f t="shared" si="11"/>
        <v>126291</v>
      </c>
      <c r="I25" s="49">
        <f>I23-I24</f>
        <v>0</v>
      </c>
      <c r="J25" s="49">
        <f t="shared" si="8"/>
        <v>126291</v>
      </c>
      <c r="L25" s="232" t="s">
        <v>205</v>
      </c>
      <c r="M25" s="232"/>
      <c r="N25" s="49">
        <f>N23-N24</f>
        <v>25197</v>
      </c>
      <c r="O25" s="49">
        <f>O23-O24</f>
        <v>11802</v>
      </c>
      <c r="P25" s="49">
        <f>P23-P24</f>
        <v>25921</v>
      </c>
      <c r="Q25" s="49">
        <f>Q23-Q24</f>
        <v>0</v>
      </c>
      <c r="R25" s="49">
        <f t="shared" si="12"/>
        <v>62920</v>
      </c>
      <c r="S25" s="49">
        <f>S23-S24</f>
        <v>0</v>
      </c>
      <c r="T25" s="49">
        <f t="shared" si="10"/>
        <v>62920</v>
      </c>
    </row>
    <row r="26" spans="2:20" s="47" customFormat="1" ht="11.1" customHeight="1" x14ac:dyDescent="0.2">
      <c r="B26" s="235" t="s">
        <v>4</v>
      </c>
      <c r="C26" s="236"/>
      <c r="D26" s="52">
        <v>8299</v>
      </c>
      <c r="E26" s="52">
        <v>2837</v>
      </c>
      <c r="F26" s="52">
        <v>8033</v>
      </c>
      <c r="G26" s="52">
        <v>191</v>
      </c>
      <c r="H26" s="52">
        <f t="shared" si="11"/>
        <v>19360</v>
      </c>
      <c r="I26" s="52"/>
      <c r="J26" s="52">
        <f t="shared" si="8"/>
        <v>19360</v>
      </c>
      <c r="L26" s="235" t="s">
        <v>4</v>
      </c>
      <c r="M26" s="236"/>
      <c r="N26" s="52">
        <f t="shared" ref="N26:Q27" si="13">D26-D9</f>
        <v>4761</v>
      </c>
      <c r="O26" s="52">
        <f t="shared" si="13"/>
        <v>1572</v>
      </c>
      <c r="P26" s="52">
        <f t="shared" si="13"/>
        <v>4109</v>
      </c>
      <c r="Q26" s="52">
        <f t="shared" si="13"/>
        <v>110.69</v>
      </c>
      <c r="R26" s="52">
        <f t="shared" si="12"/>
        <v>10552.69</v>
      </c>
      <c r="S26" s="52">
        <f>I26-I9</f>
        <v>0</v>
      </c>
      <c r="T26" s="52">
        <f t="shared" si="10"/>
        <v>10552.69</v>
      </c>
    </row>
    <row r="27" spans="2:20" s="47" customFormat="1" ht="11.1" customHeight="1" x14ac:dyDescent="0.2">
      <c r="B27" s="235" t="s">
        <v>5</v>
      </c>
      <c r="C27" s="236"/>
      <c r="D27" s="52">
        <v>29781</v>
      </c>
      <c r="E27" s="52">
        <v>12277</v>
      </c>
      <c r="F27" s="52">
        <v>20253</v>
      </c>
      <c r="G27" s="52">
        <v>1543</v>
      </c>
      <c r="H27" s="52">
        <f t="shared" si="11"/>
        <v>63854</v>
      </c>
      <c r="I27" s="52"/>
      <c r="J27" s="52">
        <f t="shared" si="8"/>
        <v>63854</v>
      </c>
      <c r="L27" s="235" t="s">
        <v>5</v>
      </c>
      <c r="M27" s="236"/>
      <c r="N27" s="52">
        <f t="shared" si="13"/>
        <v>14777</v>
      </c>
      <c r="O27" s="52">
        <f t="shared" si="13"/>
        <v>5810</v>
      </c>
      <c r="P27" s="52">
        <f t="shared" si="13"/>
        <v>10081</v>
      </c>
      <c r="Q27" s="52">
        <f t="shared" si="13"/>
        <v>963</v>
      </c>
      <c r="R27" s="52">
        <f t="shared" si="12"/>
        <v>31631</v>
      </c>
      <c r="S27" s="52">
        <f>I27-I10</f>
        <v>0</v>
      </c>
      <c r="T27" s="52">
        <f t="shared" si="10"/>
        <v>31631</v>
      </c>
    </row>
    <row r="28" spans="2:20" s="47" customFormat="1" ht="11.1" customHeight="1" x14ac:dyDescent="0.2">
      <c r="B28" s="232" t="s">
        <v>206</v>
      </c>
      <c r="C28" s="232"/>
      <c r="D28" s="49">
        <f>D25-D26-D27</f>
        <v>13083</v>
      </c>
      <c r="E28" s="49">
        <f>E25-E26-E27</f>
        <v>10887</v>
      </c>
      <c r="F28" s="49">
        <f>F25-F26-F27</f>
        <v>20841</v>
      </c>
      <c r="G28" s="49">
        <f>G25-G26-G27</f>
        <v>-1734</v>
      </c>
      <c r="H28" s="49">
        <f t="shared" si="11"/>
        <v>43077</v>
      </c>
      <c r="I28" s="49">
        <f>I25-I26-I27</f>
        <v>0</v>
      </c>
      <c r="J28" s="49">
        <f t="shared" si="8"/>
        <v>43077</v>
      </c>
      <c r="L28" s="232" t="s">
        <v>206</v>
      </c>
      <c r="M28" s="232"/>
      <c r="N28" s="49">
        <f>N25-N26-N27</f>
        <v>5659</v>
      </c>
      <c r="O28" s="49">
        <f>O25-O26-O27</f>
        <v>4420</v>
      </c>
      <c r="P28" s="49">
        <f>P25-P26-P27</f>
        <v>11731</v>
      </c>
      <c r="Q28" s="49">
        <f>Q25-Q26-Q27</f>
        <v>-1073.69</v>
      </c>
      <c r="R28" s="49">
        <f t="shared" si="12"/>
        <v>20736.310000000001</v>
      </c>
      <c r="S28" s="49">
        <f>S25-S26-S27</f>
        <v>0</v>
      </c>
      <c r="T28" s="49">
        <f t="shared" si="10"/>
        <v>20736.310000000001</v>
      </c>
    </row>
    <row r="29" spans="2:20" s="47" customFormat="1" ht="11.1" customHeight="1" x14ac:dyDescent="0.2">
      <c r="B29" s="235" t="s">
        <v>207</v>
      </c>
      <c r="C29" s="236"/>
      <c r="D29" s="52">
        <v>-659</v>
      </c>
      <c r="E29" s="52">
        <v>-36</v>
      </c>
      <c r="F29" s="52">
        <v>-1387</v>
      </c>
      <c r="G29" s="52">
        <v>0</v>
      </c>
      <c r="H29" s="52">
        <f t="shared" si="11"/>
        <v>-2082</v>
      </c>
      <c r="I29" s="52">
        <v>0</v>
      </c>
      <c r="J29" s="52">
        <f t="shared" si="8"/>
        <v>-2082</v>
      </c>
      <c r="L29" s="235" t="s">
        <v>207</v>
      </c>
      <c r="M29" s="236"/>
      <c r="N29" s="52">
        <f t="shared" ref="N29:P31" si="14">D29-D12</f>
        <v>-407</v>
      </c>
      <c r="O29" s="52">
        <f t="shared" si="14"/>
        <v>40</v>
      </c>
      <c r="P29" s="52">
        <f t="shared" si="14"/>
        <v>-758</v>
      </c>
      <c r="Q29" s="52">
        <v>0</v>
      </c>
      <c r="R29" s="52">
        <f t="shared" si="12"/>
        <v>-1125</v>
      </c>
      <c r="S29" s="52">
        <f>I29-I12</f>
        <v>0</v>
      </c>
      <c r="T29" s="52">
        <f t="shared" si="10"/>
        <v>-1125</v>
      </c>
    </row>
    <row r="30" spans="2:20" s="47" customFormat="1" ht="11.1" customHeight="1" x14ac:dyDescent="0.2">
      <c r="B30" s="237" t="s">
        <v>208</v>
      </c>
      <c r="C30" s="236"/>
      <c r="D30" s="52">
        <v>0</v>
      </c>
      <c r="E30" s="52">
        <v>0</v>
      </c>
      <c r="F30" s="52">
        <v>563</v>
      </c>
      <c r="G30" s="52">
        <v>0</v>
      </c>
      <c r="H30" s="52">
        <f t="shared" si="11"/>
        <v>563</v>
      </c>
      <c r="I30" s="52"/>
      <c r="J30" s="52">
        <f t="shared" si="8"/>
        <v>563</v>
      </c>
      <c r="L30" s="237" t="s">
        <v>208</v>
      </c>
      <c r="M30" s="236"/>
      <c r="N30" s="52">
        <f t="shared" si="14"/>
        <v>0</v>
      </c>
      <c r="O30" s="52">
        <f t="shared" si="14"/>
        <v>0</v>
      </c>
      <c r="P30" s="52">
        <f t="shared" si="14"/>
        <v>328</v>
      </c>
      <c r="Q30" s="52">
        <v>0</v>
      </c>
      <c r="R30" s="52">
        <f t="shared" si="12"/>
        <v>328</v>
      </c>
      <c r="S30" s="52">
        <f>I30-I13</f>
        <v>0</v>
      </c>
      <c r="T30" s="52">
        <f t="shared" si="10"/>
        <v>328</v>
      </c>
    </row>
    <row r="31" spans="2:20" s="47" customFormat="1" ht="11.1" customHeight="1" x14ac:dyDescent="0.2">
      <c r="B31" s="237" t="s">
        <v>27</v>
      </c>
      <c r="C31" s="236"/>
      <c r="D31" s="52">
        <v>0</v>
      </c>
      <c r="E31" s="52">
        <v>0</v>
      </c>
      <c r="F31" s="52">
        <v>0</v>
      </c>
      <c r="G31" s="52">
        <v>0</v>
      </c>
      <c r="H31" s="52">
        <f t="shared" si="11"/>
        <v>0</v>
      </c>
      <c r="I31" s="52">
        <v>0</v>
      </c>
      <c r="J31" s="52">
        <f t="shared" si="8"/>
        <v>0</v>
      </c>
      <c r="L31" s="237" t="s">
        <v>27</v>
      </c>
      <c r="M31" s="236"/>
      <c r="N31" s="52">
        <f t="shared" si="14"/>
        <v>0</v>
      </c>
      <c r="O31" s="52">
        <f t="shared" si="14"/>
        <v>0</v>
      </c>
      <c r="P31" s="52">
        <f t="shared" si="14"/>
        <v>0</v>
      </c>
      <c r="Q31" s="52">
        <v>0</v>
      </c>
      <c r="R31" s="52">
        <f t="shared" si="12"/>
        <v>0</v>
      </c>
      <c r="S31" s="52">
        <f>I31-I14</f>
        <v>0</v>
      </c>
      <c r="T31" s="52">
        <f t="shared" si="10"/>
        <v>0</v>
      </c>
    </row>
    <row r="32" spans="2:20" s="47" customFormat="1" ht="11.1" customHeight="1" x14ac:dyDescent="0.2">
      <c r="B32" s="232" t="s">
        <v>209</v>
      </c>
      <c r="C32" s="232"/>
      <c r="D32" s="49">
        <f t="shared" ref="D32:G32" si="15">D28+D29+D30+D31</f>
        <v>12424</v>
      </c>
      <c r="E32" s="49">
        <f t="shared" si="15"/>
        <v>10851</v>
      </c>
      <c r="F32" s="49">
        <f t="shared" si="15"/>
        <v>20017</v>
      </c>
      <c r="G32" s="49">
        <f t="shared" si="15"/>
        <v>-1734</v>
      </c>
      <c r="H32" s="49">
        <f t="shared" si="11"/>
        <v>41558</v>
      </c>
      <c r="I32" s="49">
        <f>I28+I29+I31</f>
        <v>0</v>
      </c>
      <c r="J32" s="49">
        <f t="shared" si="8"/>
        <v>41558</v>
      </c>
      <c r="L32" s="232" t="s">
        <v>209</v>
      </c>
      <c r="M32" s="232"/>
      <c r="N32" s="49">
        <f t="shared" ref="N32:Q32" si="16">N28+N29+N30+N31</f>
        <v>5252</v>
      </c>
      <c r="O32" s="49">
        <f t="shared" si="16"/>
        <v>4460</v>
      </c>
      <c r="P32" s="49">
        <f t="shared" si="16"/>
        <v>11301</v>
      </c>
      <c r="Q32" s="49">
        <f t="shared" si="16"/>
        <v>-1073.69</v>
      </c>
      <c r="R32" s="49">
        <f t="shared" si="12"/>
        <v>19939.310000000001</v>
      </c>
      <c r="S32" s="49">
        <f>S28+S29+S31</f>
        <v>0</v>
      </c>
      <c r="T32" s="49">
        <f t="shared" si="10"/>
        <v>19939.310000000001</v>
      </c>
    </row>
    <row r="33" spans="2:20" s="47" customFormat="1" ht="11.1" customHeight="1" x14ac:dyDescent="0.2">
      <c r="B33" s="75" t="s">
        <v>22</v>
      </c>
      <c r="C33" s="76"/>
      <c r="D33" s="49">
        <v>12267</v>
      </c>
      <c r="E33" s="49">
        <v>7891</v>
      </c>
      <c r="F33" s="49">
        <v>4513</v>
      </c>
      <c r="G33" s="49">
        <v>0</v>
      </c>
      <c r="H33" s="49">
        <f t="shared" si="11"/>
        <v>24671</v>
      </c>
      <c r="I33" s="49">
        <v>0</v>
      </c>
      <c r="J33" s="49">
        <f t="shared" si="8"/>
        <v>24671</v>
      </c>
      <c r="L33" s="75" t="s">
        <v>22</v>
      </c>
      <c r="M33" s="76"/>
      <c r="N33" s="49">
        <f>D33-D16</f>
        <v>6303</v>
      </c>
      <c r="O33" s="49">
        <f>E33-E16</f>
        <v>4522</v>
      </c>
      <c r="P33" s="49">
        <f>F33-F16</f>
        <v>2150</v>
      </c>
      <c r="Q33" s="49">
        <f>G33-G16</f>
        <v>0</v>
      </c>
      <c r="R33" s="49">
        <f t="shared" si="12"/>
        <v>12975</v>
      </c>
      <c r="S33" s="49">
        <f>I33-I16</f>
        <v>0</v>
      </c>
      <c r="T33" s="49">
        <f t="shared" si="10"/>
        <v>12975</v>
      </c>
    </row>
    <row r="34" spans="2:20" s="47" customFormat="1" ht="11.1" customHeight="1" x14ac:dyDescent="0.2">
      <c r="B34" s="233" t="s">
        <v>23</v>
      </c>
      <c r="C34" s="234"/>
      <c r="D34" s="49">
        <f>D32+D33</f>
        <v>24691</v>
      </c>
      <c r="E34" s="49">
        <f t="shared" ref="E34:G34" si="17">E32+E33</f>
        <v>18742</v>
      </c>
      <c r="F34" s="49">
        <f t="shared" si="17"/>
        <v>24530</v>
      </c>
      <c r="G34" s="49">
        <f t="shared" si="17"/>
        <v>-1734</v>
      </c>
      <c r="H34" s="49">
        <f t="shared" si="11"/>
        <v>66229</v>
      </c>
      <c r="I34" s="49">
        <f>I32+I33</f>
        <v>0</v>
      </c>
      <c r="J34" s="49">
        <f t="shared" si="8"/>
        <v>66229</v>
      </c>
      <c r="L34" s="233" t="s">
        <v>23</v>
      </c>
      <c r="M34" s="234"/>
      <c r="N34" s="49">
        <f>N32+N33</f>
        <v>11555</v>
      </c>
      <c r="O34" s="49">
        <f t="shared" ref="O34:Q34" si="18">O32+O33</f>
        <v>8982</v>
      </c>
      <c r="P34" s="49">
        <f t="shared" si="18"/>
        <v>13451</v>
      </c>
      <c r="Q34" s="49">
        <f t="shared" si="18"/>
        <v>-1073.69</v>
      </c>
      <c r="R34" s="49">
        <f t="shared" si="12"/>
        <v>32914.31</v>
      </c>
      <c r="S34" s="49">
        <f>S32+S33</f>
        <v>0</v>
      </c>
      <c r="T34" s="49">
        <f t="shared" si="10"/>
        <v>32914.31</v>
      </c>
    </row>
    <row r="35" spans="2:20" s="47" customFormat="1" ht="11.1" customHeight="1" x14ac:dyDescent="0.2">
      <c r="B35" s="83"/>
      <c r="C35" s="83"/>
      <c r="D35" s="84"/>
      <c r="E35" s="84"/>
      <c r="F35" s="84"/>
      <c r="G35" s="84"/>
      <c r="H35" s="84"/>
      <c r="I35" s="84"/>
      <c r="J35" s="85"/>
      <c r="L35" s="83"/>
      <c r="M35" s="83"/>
      <c r="N35" s="84"/>
      <c r="O35" s="84"/>
      <c r="P35" s="84"/>
      <c r="Q35" s="84"/>
      <c r="R35" s="84"/>
      <c r="S35" s="84"/>
      <c r="T35" s="85"/>
    </row>
    <row r="36" spans="2:20" ht="11.1" customHeight="1" x14ac:dyDescent="0.2">
      <c r="B36" s="48" t="s">
        <v>195</v>
      </c>
      <c r="C36" s="72"/>
      <c r="D36" s="48"/>
      <c r="E36" s="48"/>
      <c r="F36" s="48"/>
      <c r="G36" s="48"/>
      <c r="H36" s="48"/>
      <c r="I36" s="48"/>
      <c r="J36" s="81"/>
      <c r="L36" s="48" t="s">
        <v>195</v>
      </c>
      <c r="M36" s="72"/>
      <c r="N36" s="48"/>
      <c r="O36" s="48"/>
      <c r="P36" s="48"/>
      <c r="Q36" s="48"/>
      <c r="R36" s="48"/>
      <c r="S36" s="48"/>
      <c r="T36" s="81"/>
    </row>
    <row r="37" spans="2:20" ht="11.1" customHeight="1" x14ac:dyDescent="0.2">
      <c r="B37" s="244" t="s">
        <v>59</v>
      </c>
      <c r="C37" s="245"/>
      <c r="D37" s="241" t="s">
        <v>196</v>
      </c>
      <c r="E37" s="241" t="s">
        <v>197</v>
      </c>
      <c r="F37" s="241" t="s">
        <v>198</v>
      </c>
      <c r="G37" s="241" t="s">
        <v>199</v>
      </c>
      <c r="H37" s="241" t="s">
        <v>200</v>
      </c>
      <c r="I37" s="241" t="s">
        <v>201</v>
      </c>
      <c r="J37" s="241" t="s">
        <v>202</v>
      </c>
      <c r="L37" s="244" t="s">
        <v>59</v>
      </c>
      <c r="M37" s="245"/>
      <c r="N37" s="241" t="s">
        <v>196</v>
      </c>
      <c r="O37" s="241" t="s">
        <v>197</v>
      </c>
      <c r="P37" s="241" t="s">
        <v>198</v>
      </c>
      <c r="Q37" s="241" t="s">
        <v>199</v>
      </c>
      <c r="R37" s="241" t="s">
        <v>200</v>
      </c>
      <c r="S37" s="241" t="s">
        <v>201</v>
      </c>
      <c r="T37" s="241" t="s">
        <v>202</v>
      </c>
    </row>
    <row r="38" spans="2:20" ht="11.1" customHeight="1" x14ac:dyDescent="0.2">
      <c r="B38" s="246"/>
      <c r="C38" s="247"/>
      <c r="D38" s="242"/>
      <c r="E38" s="242"/>
      <c r="F38" s="242"/>
      <c r="G38" s="242"/>
      <c r="H38" s="242"/>
      <c r="I38" s="242"/>
      <c r="J38" s="242"/>
      <c r="L38" s="246"/>
      <c r="M38" s="247"/>
      <c r="N38" s="242"/>
      <c r="O38" s="242"/>
      <c r="P38" s="242"/>
      <c r="Q38" s="242"/>
      <c r="R38" s="242"/>
      <c r="S38" s="242"/>
      <c r="T38" s="242"/>
    </row>
    <row r="39" spans="2:20" ht="11.1" customHeight="1" x14ac:dyDescent="0.2">
      <c r="B39" s="248" t="s">
        <v>215</v>
      </c>
      <c r="C39" s="249"/>
      <c r="D39" s="249"/>
      <c r="E39" s="249"/>
      <c r="F39" s="249"/>
      <c r="G39" s="249"/>
      <c r="H39" s="73"/>
      <c r="I39" s="73"/>
      <c r="J39" s="82"/>
      <c r="L39" s="248" t="s">
        <v>216</v>
      </c>
      <c r="M39" s="249"/>
      <c r="N39" s="249"/>
      <c r="O39" s="249"/>
      <c r="P39" s="249"/>
      <c r="Q39" s="249"/>
      <c r="R39" s="73"/>
      <c r="S39" s="73"/>
      <c r="T39" s="82"/>
    </row>
    <row r="40" spans="2:20" ht="11.1" customHeight="1" x14ac:dyDescent="0.2">
      <c r="B40" s="238" t="s">
        <v>204</v>
      </c>
      <c r="C40" s="238"/>
      <c r="D40" s="52">
        <v>279614</v>
      </c>
      <c r="E40" s="52">
        <v>174546</v>
      </c>
      <c r="F40" s="52">
        <v>189596</v>
      </c>
      <c r="G40" s="52"/>
      <c r="H40" s="52">
        <f t="shared" ref="H40:H51" si="19">SUM(D40:G40)</f>
        <v>643756</v>
      </c>
      <c r="I40" s="52"/>
      <c r="J40" s="52">
        <f>H40+I40</f>
        <v>643756</v>
      </c>
      <c r="L40" s="238" t="s">
        <v>204</v>
      </c>
      <c r="M40" s="238"/>
      <c r="N40" s="52">
        <f t="shared" ref="N40:Q41" si="20">D40-D23</f>
        <v>94503</v>
      </c>
      <c r="O40" s="52">
        <f t="shared" si="20"/>
        <v>63327</v>
      </c>
      <c r="P40" s="52">
        <f t="shared" si="20"/>
        <v>62665</v>
      </c>
      <c r="Q40" s="52">
        <f t="shared" si="20"/>
        <v>0</v>
      </c>
      <c r="R40" s="52">
        <f>SUM(N40:Q40)</f>
        <v>220495</v>
      </c>
      <c r="S40" s="52">
        <f>I40-I23</f>
        <v>0</v>
      </c>
      <c r="T40" s="52">
        <f t="shared" ref="T40:T51" si="21">R40+S40</f>
        <v>220495</v>
      </c>
    </row>
    <row r="41" spans="2:20" ht="11.1" customHeight="1" x14ac:dyDescent="0.2">
      <c r="B41" s="238" t="s">
        <v>33</v>
      </c>
      <c r="C41" s="238"/>
      <c r="D41" s="52">
        <v>202224</v>
      </c>
      <c r="E41" s="52">
        <v>134638</v>
      </c>
      <c r="F41" s="52">
        <v>120481</v>
      </c>
      <c r="G41" s="52"/>
      <c r="H41" s="52">
        <f t="shared" si="19"/>
        <v>457343</v>
      </c>
      <c r="I41" s="52"/>
      <c r="J41" s="52">
        <f t="shared" ref="J41:J51" si="22">H41+I41</f>
        <v>457343</v>
      </c>
      <c r="L41" s="238" t="s">
        <v>33</v>
      </c>
      <c r="M41" s="238"/>
      <c r="N41" s="52">
        <f t="shared" si="20"/>
        <v>68276</v>
      </c>
      <c r="O41" s="52">
        <f t="shared" si="20"/>
        <v>49420</v>
      </c>
      <c r="P41" s="52">
        <f t="shared" si="20"/>
        <v>42677</v>
      </c>
      <c r="Q41" s="52">
        <f t="shared" si="20"/>
        <v>0</v>
      </c>
      <c r="R41" s="52">
        <f t="shared" ref="R41:R51" si="23">SUM(N41:Q41)</f>
        <v>160373</v>
      </c>
      <c r="S41" s="52">
        <f>I41-I24</f>
        <v>0</v>
      </c>
      <c r="T41" s="52">
        <f t="shared" si="21"/>
        <v>160373</v>
      </c>
    </row>
    <row r="42" spans="2:20" ht="11.1" customHeight="1" x14ac:dyDescent="0.2">
      <c r="B42" s="232" t="s">
        <v>205</v>
      </c>
      <c r="C42" s="232"/>
      <c r="D42" s="49">
        <f>D40-D41</f>
        <v>77390</v>
      </c>
      <c r="E42" s="49">
        <f>E40-E41</f>
        <v>39908</v>
      </c>
      <c r="F42" s="49">
        <f>F40-F41</f>
        <v>69115</v>
      </c>
      <c r="G42" s="49">
        <f>G40-G41</f>
        <v>0</v>
      </c>
      <c r="H42" s="49">
        <f t="shared" si="19"/>
        <v>186413</v>
      </c>
      <c r="I42" s="49">
        <f>I40-I41</f>
        <v>0</v>
      </c>
      <c r="J42" s="49">
        <f t="shared" si="22"/>
        <v>186413</v>
      </c>
      <c r="L42" s="232" t="s">
        <v>205</v>
      </c>
      <c r="M42" s="232"/>
      <c r="N42" s="49">
        <f>N40-N41</f>
        <v>26227</v>
      </c>
      <c r="O42" s="49">
        <f>O40-O41</f>
        <v>13907</v>
      </c>
      <c r="P42" s="49">
        <f>P40-P41</f>
        <v>19988</v>
      </c>
      <c r="Q42" s="49">
        <f>Q40-Q41</f>
        <v>0</v>
      </c>
      <c r="R42" s="49">
        <f t="shared" si="23"/>
        <v>60122</v>
      </c>
      <c r="S42" s="49">
        <f>S40-S41</f>
        <v>0</v>
      </c>
      <c r="T42" s="49">
        <f t="shared" si="21"/>
        <v>60122</v>
      </c>
    </row>
    <row r="43" spans="2:20" ht="11.1" customHeight="1" x14ac:dyDescent="0.2">
      <c r="B43" s="235" t="s">
        <v>4</v>
      </c>
      <c r="C43" s="236"/>
      <c r="D43" s="52">
        <v>12372</v>
      </c>
      <c r="E43" s="52">
        <v>4438</v>
      </c>
      <c r="F43" s="52">
        <v>11621</v>
      </c>
      <c r="G43" s="52">
        <v>283</v>
      </c>
      <c r="H43" s="52">
        <f t="shared" si="19"/>
        <v>28714</v>
      </c>
      <c r="I43" s="52"/>
      <c r="J43" s="52">
        <f t="shared" si="22"/>
        <v>28714</v>
      </c>
      <c r="L43" s="235" t="s">
        <v>4</v>
      </c>
      <c r="M43" s="236"/>
      <c r="N43" s="52">
        <f t="shared" ref="N43:Q44" si="24">D43-D26</f>
        <v>4073</v>
      </c>
      <c r="O43" s="52">
        <f t="shared" si="24"/>
        <v>1601</v>
      </c>
      <c r="P43" s="52">
        <f t="shared" si="24"/>
        <v>3588</v>
      </c>
      <c r="Q43" s="52">
        <f t="shared" si="24"/>
        <v>92</v>
      </c>
      <c r="R43" s="52">
        <f t="shared" si="23"/>
        <v>9354</v>
      </c>
      <c r="S43" s="52">
        <f>I43-I26</f>
        <v>0</v>
      </c>
      <c r="T43" s="52">
        <f t="shared" si="21"/>
        <v>9354</v>
      </c>
    </row>
    <row r="44" spans="2:20" ht="11.1" customHeight="1" x14ac:dyDescent="0.2">
      <c r="B44" s="235" t="s">
        <v>5</v>
      </c>
      <c r="C44" s="236"/>
      <c r="D44" s="52">
        <v>42964</v>
      </c>
      <c r="E44" s="52">
        <v>18608</v>
      </c>
      <c r="F44" s="52">
        <v>29662</v>
      </c>
      <c r="G44" s="52">
        <v>2163</v>
      </c>
      <c r="H44" s="52">
        <f t="shared" si="19"/>
        <v>93397</v>
      </c>
      <c r="I44" s="52"/>
      <c r="J44" s="52">
        <f t="shared" si="22"/>
        <v>93397</v>
      </c>
      <c r="L44" s="235" t="s">
        <v>5</v>
      </c>
      <c r="M44" s="236"/>
      <c r="N44" s="52">
        <f t="shared" si="24"/>
        <v>13183</v>
      </c>
      <c r="O44" s="52">
        <f t="shared" si="24"/>
        <v>6331</v>
      </c>
      <c r="P44" s="52">
        <f t="shared" si="24"/>
        <v>9409</v>
      </c>
      <c r="Q44" s="52">
        <f t="shared" si="24"/>
        <v>620</v>
      </c>
      <c r="R44" s="52">
        <f t="shared" si="23"/>
        <v>29543</v>
      </c>
      <c r="S44" s="52">
        <f>I44-I27</f>
        <v>0</v>
      </c>
      <c r="T44" s="52">
        <f t="shared" si="21"/>
        <v>29543</v>
      </c>
    </row>
    <row r="45" spans="2:20" ht="11.1" customHeight="1" x14ac:dyDescent="0.2">
      <c r="B45" s="232" t="s">
        <v>206</v>
      </c>
      <c r="C45" s="232"/>
      <c r="D45" s="49">
        <f>D42-D43-D44</f>
        <v>22054</v>
      </c>
      <c r="E45" s="49">
        <f>E42-E43-E44</f>
        <v>16862</v>
      </c>
      <c r="F45" s="49">
        <f>F42-F43-F44</f>
        <v>27832</v>
      </c>
      <c r="G45" s="49">
        <f>G42-G43-G44</f>
        <v>-2446</v>
      </c>
      <c r="H45" s="49">
        <f t="shared" si="19"/>
        <v>64302</v>
      </c>
      <c r="I45" s="49">
        <f>I42-I43-I44</f>
        <v>0</v>
      </c>
      <c r="J45" s="49">
        <f t="shared" si="22"/>
        <v>64302</v>
      </c>
      <c r="L45" s="232" t="s">
        <v>206</v>
      </c>
      <c r="M45" s="232"/>
      <c r="N45" s="49">
        <f>N42-N43-N44</f>
        <v>8971</v>
      </c>
      <c r="O45" s="49">
        <f>O42-O43-O44</f>
        <v>5975</v>
      </c>
      <c r="P45" s="49">
        <f>P42-P43-P44</f>
        <v>6991</v>
      </c>
      <c r="Q45" s="49">
        <f>Q42-Q43-Q44</f>
        <v>-712</v>
      </c>
      <c r="R45" s="49">
        <f t="shared" si="23"/>
        <v>21225</v>
      </c>
      <c r="S45" s="49">
        <f>S42-S43-S44</f>
        <v>0</v>
      </c>
      <c r="T45" s="49">
        <f t="shared" si="21"/>
        <v>21225</v>
      </c>
    </row>
    <row r="46" spans="2:20" ht="11.1" customHeight="1" x14ac:dyDescent="0.2">
      <c r="B46" s="235" t="s">
        <v>207</v>
      </c>
      <c r="C46" s="236"/>
      <c r="D46" s="52">
        <v>-4622</v>
      </c>
      <c r="E46" s="52">
        <v>1797</v>
      </c>
      <c r="F46" s="52">
        <v>-2042</v>
      </c>
      <c r="G46" s="52"/>
      <c r="H46" s="52">
        <f t="shared" si="19"/>
        <v>-4867</v>
      </c>
      <c r="I46" s="52">
        <v>0</v>
      </c>
      <c r="J46" s="52">
        <f t="shared" si="22"/>
        <v>-4867</v>
      </c>
      <c r="L46" s="235" t="s">
        <v>207</v>
      </c>
      <c r="M46" s="236"/>
      <c r="N46" s="52">
        <f t="shared" ref="N46:Q48" si="25">D46-D29</f>
        <v>-3963</v>
      </c>
      <c r="O46" s="52">
        <f t="shared" si="25"/>
        <v>1833</v>
      </c>
      <c r="P46" s="52">
        <f t="shared" si="25"/>
        <v>-655</v>
      </c>
      <c r="Q46" s="52">
        <f t="shared" si="25"/>
        <v>0</v>
      </c>
      <c r="R46" s="52">
        <f t="shared" si="23"/>
        <v>-2785</v>
      </c>
      <c r="S46" s="52">
        <f>I46-I29</f>
        <v>0</v>
      </c>
      <c r="T46" s="52">
        <f t="shared" si="21"/>
        <v>-2785</v>
      </c>
    </row>
    <row r="47" spans="2:20" ht="11.1" customHeight="1" x14ac:dyDescent="0.2">
      <c r="B47" s="237" t="s">
        <v>208</v>
      </c>
      <c r="C47" s="236"/>
      <c r="D47" s="52">
        <v>0</v>
      </c>
      <c r="E47" s="52">
        <v>0</v>
      </c>
      <c r="F47" s="52">
        <v>1166</v>
      </c>
      <c r="G47" s="52"/>
      <c r="H47" s="52">
        <f t="shared" si="19"/>
        <v>1166</v>
      </c>
      <c r="I47" s="52"/>
      <c r="J47" s="52">
        <f t="shared" si="22"/>
        <v>1166</v>
      </c>
      <c r="L47" s="237" t="s">
        <v>208</v>
      </c>
      <c r="M47" s="236"/>
      <c r="N47" s="52">
        <f t="shared" si="25"/>
        <v>0</v>
      </c>
      <c r="O47" s="52">
        <f t="shared" si="25"/>
        <v>0</v>
      </c>
      <c r="P47" s="52">
        <f t="shared" si="25"/>
        <v>603</v>
      </c>
      <c r="Q47" s="52">
        <f t="shared" si="25"/>
        <v>0</v>
      </c>
      <c r="R47" s="52">
        <f t="shared" si="23"/>
        <v>603</v>
      </c>
      <c r="S47" s="52">
        <f>I47-I30</f>
        <v>0</v>
      </c>
      <c r="T47" s="52">
        <f t="shared" si="21"/>
        <v>603</v>
      </c>
    </row>
    <row r="48" spans="2:20" ht="11.1" customHeight="1" x14ac:dyDescent="0.2">
      <c r="B48" s="237" t="s">
        <v>27</v>
      </c>
      <c r="C48" s="236"/>
      <c r="D48" s="52"/>
      <c r="E48" s="52"/>
      <c r="F48" s="52"/>
      <c r="G48" s="52"/>
      <c r="H48" s="52">
        <f t="shared" si="19"/>
        <v>0</v>
      </c>
      <c r="I48" s="52">
        <v>0</v>
      </c>
      <c r="J48" s="52">
        <f t="shared" si="22"/>
        <v>0</v>
      </c>
      <c r="L48" s="237" t="s">
        <v>27</v>
      </c>
      <c r="M48" s="236"/>
      <c r="N48" s="52">
        <f t="shared" si="25"/>
        <v>0</v>
      </c>
      <c r="O48" s="52">
        <f t="shared" si="25"/>
        <v>0</v>
      </c>
      <c r="P48" s="52">
        <f t="shared" si="25"/>
        <v>0</v>
      </c>
      <c r="Q48" s="52">
        <f t="shared" si="25"/>
        <v>0</v>
      </c>
      <c r="R48" s="52">
        <f t="shared" si="23"/>
        <v>0</v>
      </c>
      <c r="S48" s="52">
        <f>I48-I31</f>
        <v>0</v>
      </c>
      <c r="T48" s="52">
        <f t="shared" si="21"/>
        <v>0</v>
      </c>
    </row>
    <row r="49" spans="2:20" ht="11.1" customHeight="1" x14ac:dyDescent="0.2">
      <c r="B49" s="232" t="s">
        <v>209</v>
      </c>
      <c r="C49" s="232"/>
      <c r="D49" s="49">
        <f t="shared" ref="D49:G49" si="26">D45+D46+D47+D48</f>
        <v>17432</v>
      </c>
      <c r="E49" s="49">
        <f t="shared" si="26"/>
        <v>18659</v>
      </c>
      <c r="F49" s="49">
        <f t="shared" si="26"/>
        <v>26956</v>
      </c>
      <c r="G49" s="49">
        <f t="shared" si="26"/>
        <v>-2446</v>
      </c>
      <c r="H49" s="49">
        <f t="shared" si="19"/>
        <v>60601</v>
      </c>
      <c r="I49" s="49">
        <f>I45+I46+I48</f>
        <v>0</v>
      </c>
      <c r="J49" s="49">
        <f>H49+I49</f>
        <v>60601</v>
      </c>
      <c r="L49" s="232" t="s">
        <v>209</v>
      </c>
      <c r="M49" s="232"/>
      <c r="N49" s="49">
        <f t="shared" ref="N49:Q49" si="27">N45+N46+N47+N48</f>
        <v>5008</v>
      </c>
      <c r="O49" s="49">
        <f t="shared" si="27"/>
        <v>7808</v>
      </c>
      <c r="P49" s="49">
        <f t="shared" si="27"/>
        <v>6939</v>
      </c>
      <c r="Q49" s="49">
        <f t="shared" si="27"/>
        <v>-712</v>
      </c>
      <c r="R49" s="49">
        <f t="shared" si="23"/>
        <v>19043</v>
      </c>
      <c r="S49" s="49">
        <f>S45+S46+S48</f>
        <v>0</v>
      </c>
      <c r="T49" s="49">
        <f t="shared" si="21"/>
        <v>19043</v>
      </c>
    </row>
    <row r="50" spans="2:20" ht="11.1" customHeight="1" x14ac:dyDescent="0.2">
      <c r="B50" s="75" t="s">
        <v>22</v>
      </c>
      <c r="C50" s="76"/>
      <c r="D50" s="49">
        <v>18524</v>
      </c>
      <c r="E50" s="49">
        <v>11697</v>
      </c>
      <c r="F50" s="49">
        <v>6811</v>
      </c>
      <c r="G50" s="49">
        <v>0</v>
      </c>
      <c r="H50" s="49">
        <f t="shared" si="19"/>
        <v>37032</v>
      </c>
      <c r="I50" s="49">
        <v>0</v>
      </c>
      <c r="J50" s="49">
        <f t="shared" si="22"/>
        <v>37032</v>
      </c>
      <c r="L50" s="75" t="s">
        <v>22</v>
      </c>
      <c r="M50" s="76"/>
      <c r="N50" s="49">
        <f>D50-D33</f>
        <v>6257</v>
      </c>
      <c r="O50" s="49">
        <f>E50-E33</f>
        <v>3806</v>
      </c>
      <c r="P50" s="49">
        <f>F50-F33</f>
        <v>2298</v>
      </c>
      <c r="Q50" s="49">
        <f>G50-G33</f>
        <v>0</v>
      </c>
      <c r="R50" s="49">
        <f t="shared" si="23"/>
        <v>12361</v>
      </c>
      <c r="S50" s="49">
        <f>I50-I33</f>
        <v>0</v>
      </c>
      <c r="T50" s="49">
        <f t="shared" si="21"/>
        <v>12361</v>
      </c>
    </row>
    <row r="51" spans="2:20" ht="11.1" customHeight="1" x14ac:dyDescent="0.2">
      <c r="B51" s="233" t="s">
        <v>23</v>
      </c>
      <c r="C51" s="234"/>
      <c r="D51" s="49">
        <f>D49+D50</f>
        <v>35956</v>
      </c>
      <c r="E51" s="49">
        <f t="shared" ref="E51:G51" si="28">E49+E50</f>
        <v>30356</v>
      </c>
      <c r="F51" s="49">
        <f t="shared" si="28"/>
        <v>33767</v>
      </c>
      <c r="G51" s="49">
        <f t="shared" si="28"/>
        <v>-2446</v>
      </c>
      <c r="H51" s="49">
        <f t="shared" si="19"/>
        <v>97633</v>
      </c>
      <c r="I51" s="49">
        <f>I49+I50</f>
        <v>0</v>
      </c>
      <c r="J51" s="49">
        <f t="shared" si="22"/>
        <v>97633</v>
      </c>
      <c r="L51" s="233" t="s">
        <v>23</v>
      </c>
      <c r="M51" s="234"/>
      <c r="N51" s="49">
        <f>N49+N50</f>
        <v>11265</v>
      </c>
      <c r="O51" s="49">
        <f t="shared" ref="O51:Q51" si="29">O49+O50</f>
        <v>11614</v>
      </c>
      <c r="P51" s="49">
        <f t="shared" si="29"/>
        <v>9237</v>
      </c>
      <c r="Q51" s="49">
        <f t="shared" si="29"/>
        <v>-712</v>
      </c>
      <c r="R51" s="49">
        <f t="shared" si="23"/>
        <v>31404</v>
      </c>
      <c r="S51" s="49">
        <f>S49+S50</f>
        <v>0</v>
      </c>
      <c r="T51" s="49">
        <f t="shared" si="21"/>
        <v>31404</v>
      </c>
    </row>
    <row r="52" spans="2:20" ht="11.1" customHeight="1" x14ac:dyDescent="0.2">
      <c r="B52" s="48" t="s">
        <v>195</v>
      </c>
      <c r="C52" s="72"/>
      <c r="D52" s="48"/>
      <c r="E52" s="48"/>
      <c r="F52" s="48"/>
      <c r="G52" s="48"/>
      <c r="H52" s="48"/>
      <c r="I52" s="48"/>
      <c r="J52" s="81"/>
      <c r="L52" s="48" t="s">
        <v>195</v>
      </c>
      <c r="M52" s="72"/>
      <c r="N52" s="48"/>
      <c r="O52" s="48"/>
      <c r="P52" s="48"/>
      <c r="Q52" s="48"/>
      <c r="R52" s="48"/>
      <c r="S52" s="48"/>
      <c r="T52" s="81"/>
    </row>
    <row r="53" spans="2:20" ht="11.1" customHeight="1" x14ac:dyDescent="0.2">
      <c r="B53" s="48"/>
      <c r="C53" s="72"/>
      <c r="D53" s="48"/>
      <c r="E53" s="48"/>
      <c r="F53" s="48"/>
      <c r="G53" s="48"/>
      <c r="H53" s="48"/>
      <c r="I53" s="48"/>
      <c r="J53" s="81"/>
      <c r="L53" s="48"/>
      <c r="M53" s="72"/>
      <c r="N53" s="48"/>
      <c r="O53" s="48"/>
      <c r="P53" s="48"/>
      <c r="Q53" s="48"/>
      <c r="R53" s="48"/>
      <c r="S53" s="48"/>
      <c r="T53" s="81"/>
    </row>
    <row r="54" spans="2:20" ht="11.1" customHeight="1" x14ac:dyDescent="0.2">
      <c r="B54" s="244" t="s">
        <v>59</v>
      </c>
      <c r="C54" s="245"/>
      <c r="D54" s="241" t="s">
        <v>196</v>
      </c>
      <c r="E54" s="241" t="s">
        <v>197</v>
      </c>
      <c r="F54" s="241" t="s">
        <v>198</v>
      </c>
      <c r="G54" s="241" t="s">
        <v>199</v>
      </c>
      <c r="H54" s="241" t="s">
        <v>200</v>
      </c>
      <c r="I54" s="241" t="s">
        <v>201</v>
      </c>
      <c r="J54" s="241" t="s">
        <v>202</v>
      </c>
      <c r="L54" s="244" t="s">
        <v>59</v>
      </c>
      <c r="M54" s="245"/>
      <c r="N54" s="241" t="s">
        <v>196</v>
      </c>
      <c r="O54" s="241" t="s">
        <v>197</v>
      </c>
      <c r="P54" s="241" t="s">
        <v>198</v>
      </c>
      <c r="Q54" s="241" t="s">
        <v>199</v>
      </c>
      <c r="R54" s="241" t="s">
        <v>200</v>
      </c>
      <c r="S54" s="241" t="s">
        <v>201</v>
      </c>
      <c r="T54" s="241" t="s">
        <v>202</v>
      </c>
    </row>
    <row r="55" spans="2:20" ht="11.1" customHeight="1" x14ac:dyDescent="0.2">
      <c r="B55" s="246"/>
      <c r="C55" s="247"/>
      <c r="D55" s="242"/>
      <c r="E55" s="242"/>
      <c r="F55" s="242"/>
      <c r="G55" s="242"/>
      <c r="H55" s="242"/>
      <c r="I55" s="242"/>
      <c r="J55" s="243"/>
      <c r="L55" s="246"/>
      <c r="M55" s="247"/>
      <c r="N55" s="242"/>
      <c r="O55" s="242"/>
      <c r="P55" s="242"/>
      <c r="Q55" s="242"/>
      <c r="R55" s="242"/>
      <c r="S55" s="242"/>
      <c r="T55" s="243"/>
    </row>
    <row r="56" spans="2:20" ht="11.1" customHeight="1" x14ac:dyDescent="0.2">
      <c r="B56" s="248" t="s">
        <v>219</v>
      </c>
      <c r="C56" s="249"/>
      <c r="D56" s="249"/>
      <c r="E56" s="249"/>
      <c r="F56" s="249"/>
      <c r="G56" s="249"/>
      <c r="H56" s="73"/>
      <c r="I56" s="73"/>
      <c r="J56" s="82"/>
      <c r="L56" s="248" t="s">
        <v>220</v>
      </c>
      <c r="M56" s="249"/>
      <c r="N56" s="249"/>
      <c r="O56" s="249"/>
      <c r="P56" s="249"/>
      <c r="Q56" s="249"/>
      <c r="R56" s="73"/>
      <c r="S56" s="73"/>
      <c r="T56" s="82"/>
    </row>
    <row r="57" spans="2:20" ht="11.1" customHeight="1" x14ac:dyDescent="0.2">
      <c r="B57" s="238" t="s">
        <v>204</v>
      </c>
      <c r="C57" s="238"/>
      <c r="D57" s="52">
        <v>377271</v>
      </c>
      <c r="E57" s="52">
        <v>243547</v>
      </c>
      <c r="F57" s="52">
        <v>256775</v>
      </c>
      <c r="G57" s="52"/>
      <c r="H57" s="52">
        <f t="shared" ref="H57:H68" si="30">SUM(D57:G57)</f>
        <v>877593</v>
      </c>
      <c r="I57" s="52"/>
      <c r="J57" s="52">
        <f>H57+I57</f>
        <v>877593</v>
      </c>
      <c r="L57" s="238" t="s">
        <v>204</v>
      </c>
      <c r="M57" s="238"/>
      <c r="N57" s="52">
        <f t="shared" ref="N57:Q58" si="31">D57-D40</f>
        <v>97657</v>
      </c>
      <c r="O57" s="52">
        <f t="shared" si="31"/>
        <v>69001</v>
      </c>
      <c r="P57" s="52">
        <f t="shared" si="31"/>
        <v>67179</v>
      </c>
      <c r="Q57" s="52">
        <f t="shared" si="31"/>
        <v>0</v>
      </c>
      <c r="R57" s="52">
        <f>SUM(N57:Q57)</f>
        <v>233837</v>
      </c>
      <c r="S57" s="52">
        <f>I57-I40</f>
        <v>0</v>
      </c>
      <c r="T57" s="52">
        <f t="shared" ref="T57:T68" si="32">R57+S57</f>
        <v>233837</v>
      </c>
    </row>
    <row r="58" spans="2:20" ht="11.1" customHeight="1" x14ac:dyDescent="0.2">
      <c r="B58" s="238" t="s">
        <v>33</v>
      </c>
      <c r="C58" s="238"/>
      <c r="D58" s="52">
        <v>281978</v>
      </c>
      <c r="E58" s="52">
        <v>186067</v>
      </c>
      <c r="F58" s="52">
        <v>171786</v>
      </c>
      <c r="G58" s="52"/>
      <c r="H58" s="52">
        <f t="shared" si="30"/>
        <v>639831</v>
      </c>
      <c r="I58" s="52"/>
      <c r="J58" s="52">
        <f t="shared" ref="J58:J68" si="33">H58+I58</f>
        <v>639831</v>
      </c>
      <c r="L58" s="238" t="s">
        <v>33</v>
      </c>
      <c r="M58" s="238"/>
      <c r="N58" s="52">
        <f t="shared" si="31"/>
        <v>79754</v>
      </c>
      <c r="O58" s="52">
        <f t="shared" si="31"/>
        <v>51429</v>
      </c>
      <c r="P58" s="52">
        <f t="shared" si="31"/>
        <v>51305</v>
      </c>
      <c r="Q58" s="52">
        <f t="shared" si="31"/>
        <v>0</v>
      </c>
      <c r="R58" s="52">
        <f t="shared" ref="R58:R68" si="34">SUM(N58:Q58)</f>
        <v>182488</v>
      </c>
      <c r="S58" s="52">
        <f>I58-I41</f>
        <v>0</v>
      </c>
      <c r="T58" s="52">
        <f t="shared" si="32"/>
        <v>182488</v>
      </c>
    </row>
    <row r="59" spans="2:20" ht="11.1" customHeight="1" x14ac:dyDescent="0.2">
      <c r="B59" s="232" t="s">
        <v>205</v>
      </c>
      <c r="C59" s="232"/>
      <c r="D59" s="49">
        <f>D57-D58</f>
        <v>95293</v>
      </c>
      <c r="E59" s="49">
        <f>E57-E58</f>
        <v>57480</v>
      </c>
      <c r="F59" s="49">
        <f>F57-F58</f>
        <v>84989</v>
      </c>
      <c r="G59" s="49">
        <f>G57-G58</f>
        <v>0</v>
      </c>
      <c r="H59" s="49">
        <f t="shared" si="30"/>
        <v>237762</v>
      </c>
      <c r="I59" s="49">
        <f>I57-I58</f>
        <v>0</v>
      </c>
      <c r="J59" s="49">
        <f t="shared" si="33"/>
        <v>237762</v>
      </c>
      <c r="L59" s="232" t="s">
        <v>205</v>
      </c>
      <c r="M59" s="232"/>
      <c r="N59" s="49">
        <f>N57-N58</f>
        <v>17903</v>
      </c>
      <c r="O59" s="49">
        <f>O57-O58</f>
        <v>17572</v>
      </c>
      <c r="P59" s="49">
        <f>P57-P58</f>
        <v>15874</v>
      </c>
      <c r="Q59" s="49">
        <f>Q57-Q58</f>
        <v>0</v>
      </c>
      <c r="R59" s="49">
        <f t="shared" si="34"/>
        <v>51349</v>
      </c>
      <c r="S59" s="49">
        <f>S57-S58</f>
        <v>0</v>
      </c>
      <c r="T59" s="49">
        <f t="shared" si="32"/>
        <v>51349</v>
      </c>
    </row>
    <row r="60" spans="2:20" ht="11.1" customHeight="1" x14ac:dyDescent="0.2">
      <c r="B60" s="235" t="s">
        <v>4</v>
      </c>
      <c r="C60" s="236"/>
      <c r="D60" s="52">
        <v>16461</v>
      </c>
      <c r="E60" s="52">
        <v>6418</v>
      </c>
      <c r="F60" s="52">
        <v>16518</v>
      </c>
      <c r="G60" s="52">
        <v>357</v>
      </c>
      <c r="H60" s="52">
        <f t="shared" si="30"/>
        <v>39754</v>
      </c>
      <c r="I60" s="52"/>
      <c r="J60" s="52">
        <f t="shared" si="33"/>
        <v>39754</v>
      </c>
      <c r="L60" s="235" t="s">
        <v>4</v>
      </c>
      <c r="M60" s="236"/>
      <c r="N60" s="52">
        <f t="shared" ref="N60:Q61" si="35">D60-D43</f>
        <v>4089</v>
      </c>
      <c r="O60" s="52">
        <f t="shared" si="35"/>
        <v>1980</v>
      </c>
      <c r="P60" s="52">
        <f t="shared" si="35"/>
        <v>4897</v>
      </c>
      <c r="Q60" s="52">
        <f t="shared" si="35"/>
        <v>74</v>
      </c>
      <c r="R60" s="52">
        <f t="shared" si="34"/>
        <v>11040</v>
      </c>
      <c r="S60" s="52">
        <f>I60-I43</f>
        <v>0</v>
      </c>
      <c r="T60" s="52">
        <f t="shared" si="32"/>
        <v>11040</v>
      </c>
    </row>
    <row r="61" spans="2:20" ht="11.1" customHeight="1" x14ac:dyDescent="0.2">
      <c r="B61" s="235" t="s">
        <v>5</v>
      </c>
      <c r="C61" s="236"/>
      <c r="D61" s="52">
        <v>56443</v>
      </c>
      <c r="E61" s="52">
        <v>24813</v>
      </c>
      <c r="F61" s="52">
        <v>39408</v>
      </c>
      <c r="G61" s="52">
        <v>2810</v>
      </c>
      <c r="H61" s="52">
        <f t="shared" si="30"/>
        <v>123474</v>
      </c>
      <c r="I61" s="52"/>
      <c r="J61" s="52">
        <f t="shared" si="33"/>
        <v>123474</v>
      </c>
      <c r="L61" s="235" t="s">
        <v>5</v>
      </c>
      <c r="M61" s="236"/>
      <c r="N61" s="52">
        <f t="shared" si="35"/>
        <v>13479</v>
      </c>
      <c r="O61" s="52">
        <f t="shared" si="35"/>
        <v>6205</v>
      </c>
      <c r="P61" s="52">
        <f t="shared" si="35"/>
        <v>9746</v>
      </c>
      <c r="Q61" s="52">
        <f t="shared" si="35"/>
        <v>647</v>
      </c>
      <c r="R61" s="52">
        <f t="shared" si="34"/>
        <v>30077</v>
      </c>
      <c r="S61" s="52">
        <f>I61-I44</f>
        <v>0</v>
      </c>
      <c r="T61" s="52">
        <f t="shared" si="32"/>
        <v>30077</v>
      </c>
    </row>
    <row r="62" spans="2:20" ht="11.1" customHeight="1" x14ac:dyDescent="0.2">
      <c r="B62" s="232" t="s">
        <v>206</v>
      </c>
      <c r="C62" s="232"/>
      <c r="D62" s="49">
        <f>D59-D60-D61</f>
        <v>22389</v>
      </c>
      <c r="E62" s="49">
        <f>E59-E60-E61</f>
        <v>26249</v>
      </c>
      <c r="F62" s="49">
        <f>F59-F60-F61</f>
        <v>29063</v>
      </c>
      <c r="G62" s="49">
        <f>G59-G60-G61</f>
        <v>-3167</v>
      </c>
      <c r="H62" s="49">
        <f t="shared" si="30"/>
        <v>74534</v>
      </c>
      <c r="I62" s="49">
        <f>I59-I60-I61</f>
        <v>0</v>
      </c>
      <c r="J62" s="49">
        <f t="shared" si="33"/>
        <v>74534</v>
      </c>
      <c r="L62" s="232" t="s">
        <v>206</v>
      </c>
      <c r="M62" s="232"/>
      <c r="N62" s="49">
        <f>N59-N60-N61</f>
        <v>335</v>
      </c>
      <c r="O62" s="49">
        <f>O59-O60-O61</f>
        <v>9387</v>
      </c>
      <c r="P62" s="49">
        <f>P59-P60-P61</f>
        <v>1231</v>
      </c>
      <c r="Q62" s="49">
        <f>Q59-Q60-Q61</f>
        <v>-721</v>
      </c>
      <c r="R62" s="49">
        <f t="shared" si="34"/>
        <v>10232</v>
      </c>
      <c r="S62" s="49">
        <f>S59-S60-S61</f>
        <v>0</v>
      </c>
      <c r="T62" s="49">
        <f t="shared" si="32"/>
        <v>10232</v>
      </c>
    </row>
    <row r="63" spans="2:20" ht="11.1" customHeight="1" x14ac:dyDescent="0.2">
      <c r="B63" s="235" t="s">
        <v>207</v>
      </c>
      <c r="C63" s="236"/>
      <c r="D63" s="52">
        <v>1044</v>
      </c>
      <c r="E63" s="52">
        <v>1964</v>
      </c>
      <c r="F63" s="52">
        <v>-2518</v>
      </c>
      <c r="G63" s="52">
        <v>0</v>
      </c>
      <c r="H63" s="52">
        <f t="shared" si="30"/>
        <v>490</v>
      </c>
      <c r="I63" s="52">
        <v>0</v>
      </c>
      <c r="J63" s="52">
        <f t="shared" si="33"/>
        <v>490</v>
      </c>
      <c r="L63" s="235" t="s">
        <v>207</v>
      </c>
      <c r="M63" s="236"/>
      <c r="N63" s="52">
        <f t="shared" ref="N63:Q65" si="36">D63-D46</f>
        <v>5666</v>
      </c>
      <c r="O63" s="52">
        <f t="shared" si="36"/>
        <v>167</v>
      </c>
      <c r="P63" s="52">
        <f t="shared" si="36"/>
        <v>-476</v>
      </c>
      <c r="Q63" s="52">
        <f t="shared" si="36"/>
        <v>0</v>
      </c>
      <c r="R63" s="52">
        <f t="shared" si="34"/>
        <v>5357</v>
      </c>
      <c r="S63" s="52">
        <f>I63-I46</f>
        <v>0</v>
      </c>
      <c r="T63" s="52">
        <f t="shared" si="32"/>
        <v>5357</v>
      </c>
    </row>
    <row r="64" spans="2:20" ht="11.1" customHeight="1" x14ac:dyDescent="0.2">
      <c r="B64" s="237" t="s">
        <v>208</v>
      </c>
      <c r="C64" s="236"/>
      <c r="D64" s="52">
        <v>0</v>
      </c>
      <c r="E64" s="52">
        <v>-277</v>
      </c>
      <c r="F64" s="52">
        <v>1670</v>
      </c>
      <c r="G64" s="52">
        <v>0</v>
      </c>
      <c r="H64" s="52">
        <f t="shared" si="30"/>
        <v>1393</v>
      </c>
      <c r="I64" s="52"/>
      <c r="J64" s="52">
        <f t="shared" si="33"/>
        <v>1393</v>
      </c>
      <c r="L64" s="237" t="s">
        <v>208</v>
      </c>
      <c r="M64" s="236"/>
      <c r="N64" s="52">
        <f t="shared" si="36"/>
        <v>0</v>
      </c>
      <c r="O64" s="52">
        <f t="shared" si="36"/>
        <v>-277</v>
      </c>
      <c r="P64" s="52">
        <f t="shared" si="36"/>
        <v>504</v>
      </c>
      <c r="Q64" s="52">
        <f t="shared" si="36"/>
        <v>0</v>
      </c>
      <c r="R64" s="52">
        <f t="shared" si="34"/>
        <v>227</v>
      </c>
      <c r="S64" s="52">
        <f>I64-I47</f>
        <v>0</v>
      </c>
      <c r="T64" s="52">
        <f t="shared" si="32"/>
        <v>227</v>
      </c>
    </row>
    <row r="65" spans="2:20" ht="11.1" customHeight="1" x14ac:dyDescent="0.2">
      <c r="B65" s="237" t="s">
        <v>27</v>
      </c>
      <c r="C65" s="236"/>
      <c r="D65" s="52"/>
      <c r="E65" s="52"/>
      <c r="F65" s="52"/>
      <c r="G65" s="52"/>
      <c r="H65" s="52">
        <f t="shared" si="30"/>
        <v>0</v>
      </c>
      <c r="I65" s="52">
        <v>0</v>
      </c>
      <c r="J65" s="52">
        <f t="shared" si="33"/>
        <v>0</v>
      </c>
      <c r="L65" s="237" t="s">
        <v>27</v>
      </c>
      <c r="M65" s="236"/>
      <c r="N65" s="52">
        <f t="shared" si="36"/>
        <v>0</v>
      </c>
      <c r="O65" s="52">
        <f t="shared" si="36"/>
        <v>0</v>
      </c>
      <c r="P65" s="52">
        <f t="shared" si="36"/>
        <v>0</v>
      </c>
      <c r="Q65" s="52">
        <f t="shared" si="36"/>
        <v>0</v>
      </c>
      <c r="R65" s="52">
        <f t="shared" si="34"/>
        <v>0</v>
      </c>
      <c r="S65" s="52">
        <f>I65-I48</f>
        <v>0</v>
      </c>
      <c r="T65" s="52">
        <f t="shared" si="32"/>
        <v>0</v>
      </c>
    </row>
    <row r="66" spans="2:20" ht="11.1" customHeight="1" x14ac:dyDescent="0.2">
      <c r="B66" s="232" t="s">
        <v>209</v>
      </c>
      <c r="C66" s="232"/>
      <c r="D66" s="49">
        <f>D62+D63+D64+D65</f>
        <v>23433</v>
      </c>
      <c r="E66" s="49">
        <f>E62+E63+E64+E65</f>
        <v>27936</v>
      </c>
      <c r="F66" s="49">
        <f>F62+F63+F64+F65</f>
        <v>28215</v>
      </c>
      <c r="G66" s="49">
        <f>G62+G63+G64+G65</f>
        <v>-3167</v>
      </c>
      <c r="H66" s="49">
        <f t="shared" si="30"/>
        <v>76417</v>
      </c>
      <c r="I66" s="49">
        <f>I62+I63+I65</f>
        <v>0</v>
      </c>
      <c r="J66" s="49">
        <f>H66+I66</f>
        <v>76417</v>
      </c>
      <c r="L66" s="232" t="s">
        <v>209</v>
      </c>
      <c r="M66" s="232"/>
      <c r="N66" s="49">
        <f t="shared" ref="N66:Q66" si="37">N62+N63+N64+N65</f>
        <v>6001</v>
      </c>
      <c r="O66" s="49">
        <f t="shared" si="37"/>
        <v>9277</v>
      </c>
      <c r="P66" s="49">
        <f t="shared" si="37"/>
        <v>1259</v>
      </c>
      <c r="Q66" s="49">
        <f t="shared" si="37"/>
        <v>-721</v>
      </c>
      <c r="R66" s="49">
        <f t="shared" si="34"/>
        <v>15816</v>
      </c>
      <c r="S66" s="49">
        <f>S62+S63+S65</f>
        <v>0</v>
      </c>
      <c r="T66" s="49">
        <f t="shared" si="32"/>
        <v>15816</v>
      </c>
    </row>
    <row r="67" spans="2:20" ht="11.1" customHeight="1" x14ac:dyDescent="0.2">
      <c r="B67" s="75" t="s">
        <v>22</v>
      </c>
      <c r="C67" s="76"/>
      <c r="D67" s="49">
        <v>24950</v>
      </c>
      <c r="E67" s="49">
        <v>15415</v>
      </c>
      <c r="F67" s="49">
        <v>9506</v>
      </c>
      <c r="G67" s="49">
        <v>0</v>
      </c>
      <c r="H67" s="49">
        <f t="shared" si="30"/>
        <v>49871</v>
      </c>
      <c r="I67" s="49">
        <v>0</v>
      </c>
      <c r="J67" s="49">
        <f t="shared" si="33"/>
        <v>49871</v>
      </c>
      <c r="L67" s="75" t="s">
        <v>22</v>
      </c>
      <c r="M67" s="76"/>
      <c r="N67" s="49">
        <f>D67-D50</f>
        <v>6426</v>
      </c>
      <c r="O67" s="49">
        <f>E67-E50</f>
        <v>3718</v>
      </c>
      <c r="P67" s="49">
        <f>F67-F50</f>
        <v>2695</v>
      </c>
      <c r="Q67" s="49">
        <f>G67-G50</f>
        <v>0</v>
      </c>
      <c r="R67" s="49">
        <f t="shared" si="34"/>
        <v>12839</v>
      </c>
      <c r="S67" s="49">
        <f>I67-I50</f>
        <v>0</v>
      </c>
      <c r="T67" s="49">
        <f t="shared" si="32"/>
        <v>12839</v>
      </c>
    </row>
    <row r="68" spans="2:20" ht="11.1" customHeight="1" x14ac:dyDescent="0.2">
      <c r="B68" s="233" t="s">
        <v>23</v>
      </c>
      <c r="C68" s="234"/>
      <c r="D68" s="49">
        <f>D66+D67</f>
        <v>48383</v>
      </c>
      <c r="E68" s="49">
        <f t="shared" ref="E68:G68" si="38">E66+E67</f>
        <v>43351</v>
      </c>
      <c r="F68" s="49">
        <f t="shared" si="38"/>
        <v>37721</v>
      </c>
      <c r="G68" s="49">
        <f t="shared" si="38"/>
        <v>-3167</v>
      </c>
      <c r="H68" s="49">
        <f t="shared" si="30"/>
        <v>126288</v>
      </c>
      <c r="I68" s="49">
        <f>I66+I67</f>
        <v>0</v>
      </c>
      <c r="J68" s="49">
        <f t="shared" si="33"/>
        <v>126288</v>
      </c>
      <c r="L68" s="233" t="s">
        <v>23</v>
      </c>
      <c r="M68" s="234"/>
      <c r="N68" s="49">
        <f>N66+N67</f>
        <v>12427</v>
      </c>
      <c r="O68" s="49">
        <f t="shared" ref="O68:Q68" si="39">O66+O67</f>
        <v>12995</v>
      </c>
      <c r="P68" s="49">
        <f t="shared" si="39"/>
        <v>3954</v>
      </c>
      <c r="Q68" s="49">
        <f t="shared" si="39"/>
        <v>-721</v>
      </c>
      <c r="R68" s="49">
        <f t="shared" si="34"/>
        <v>28655</v>
      </c>
      <c r="S68" s="49">
        <f>S66+S67</f>
        <v>0</v>
      </c>
      <c r="T68" s="49">
        <f t="shared" si="32"/>
        <v>28655</v>
      </c>
    </row>
  </sheetData>
  <mergeCells count="160">
    <mergeCell ref="B66:C66"/>
    <mergeCell ref="L66:M66"/>
    <mergeCell ref="B68:C68"/>
    <mergeCell ref="L68:M68"/>
    <mergeCell ref="B63:C63"/>
    <mergeCell ref="L63:M63"/>
    <mergeCell ref="B64:C64"/>
    <mergeCell ref="L64:M64"/>
    <mergeCell ref="B65:C65"/>
    <mergeCell ref="L65:M65"/>
    <mergeCell ref="B60:C60"/>
    <mergeCell ref="L60:M60"/>
    <mergeCell ref="B61:C61"/>
    <mergeCell ref="L61:M61"/>
    <mergeCell ref="B62:C62"/>
    <mergeCell ref="L62:M62"/>
    <mergeCell ref="B57:C57"/>
    <mergeCell ref="L57:M57"/>
    <mergeCell ref="B58:C58"/>
    <mergeCell ref="L58:M58"/>
    <mergeCell ref="B59:C59"/>
    <mergeCell ref="L59:M59"/>
    <mergeCell ref="Q54:Q55"/>
    <mergeCell ref="R54:R55"/>
    <mergeCell ref="S54:S55"/>
    <mergeCell ref="T54:T55"/>
    <mergeCell ref="B56:G56"/>
    <mergeCell ref="L56:Q56"/>
    <mergeCell ref="I54:I55"/>
    <mergeCell ref="J54:J55"/>
    <mergeCell ref="L54:M55"/>
    <mergeCell ref="N54:N55"/>
    <mergeCell ref="O54:O55"/>
    <mergeCell ref="P54:P55"/>
    <mergeCell ref="B54:C55"/>
    <mergeCell ref="D54:D55"/>
    <mergeCell ref="E54:E55"/>
    <mergeCell ref="F54:F55"/>
    <mergeCell ref="G54:G55"/>
    <mergeCell ref="H54:H55"/>
    <mergeCell ref="B49:C49"/>
    <mergeCell ref="L49:M49"/>
    <mergeCell ref="B51:C51"/>
    <mergeCell ref="L51:M51"/>
    <mergeCell ref="B46:C46"/>
    <mergeCell ref="L46:M46"/>
    <mergeCell ref="B47:C47"/>
    <mergeCell ref="L47:M47"/>
    <mergeCell ref="B48:C48"/>
    <mergeCell ref="L48:M48"/>
    <mergeCell ref="B43:C43"/>
    <mergeCell ref="L43:M43"/>
    <mergeCell ref="B44:C44"/>
    <mergeCell ref="L44:M44"/>
    <mergeCell ref="B45:C45"/>
    <mergeCell ref="L45:M45"/>
    <mergeCell ref="B40:C40"/>
    <mergeCell ref="L40:M40"/>
    <mergeCell ref="B41:C41"/>
    <mergeCell ref="L41:M41"/>
    <mergeCell ref="B42:C42"/>
    <mergeCell ref="L42:M42"/>
    <mergeCell ref="Q37:Q38"/>
    <mergeCell ref="R37:R38"/>
    <mergeCell ref="S37:S38"/>
    <mergeCell ref="T37:T38"/>
    <mergeCell ref="B39:G39"/>
    <mergeCell ref="L39:Q39"/>
    <mergeCell ref="I37:I38"/>
    <mergeCell ref="J37:J38"/>
    <mergeCell ref="L37:M38"/>
    <mergeCell ref="N37:N38"/>
    <mergeCell ref="O37:O38"/>
    <mergeCell ref="P37:P38"/>
    <mergeCell ref="B37:C38"/>
    <mergeCell ref="D37:D38"/>
    <mergeCell ref="E37:E38"/>
    <mergeCell ref="F37:F38"/>
    <mergeCell ref="G37:G38"/>
    <mergeCell ref="H37:H38"/>
    <mergeCell ref="B32:C32"/>
    <mergeCell ref="L32:M32"/>
    <mergeCell ref="B34:C34"/>
    <mergeCell ref="L34:M34"/>
    <mergeCell ref="B29:C29"/>
    <mergeCell ref="L29:M29"/>
    <mergeCell ref="B30:C30"/>
    <mergeCell ref="L30:M30"/>
    <mergeCell ref="B31:C31"/>
    <mergeCell ref="L31:M31"/>
    <mergeCell ref="B26:C26"/>
    <mergeCell ref="L26:M26"/>
    <mergeCell ref="B27:C27"/>
    <mergeCell ref="L27:M27"/>
    <mergeCell ref="B28:C28"/>
    <mergeCell ref="L28:M28"/>
    <mergeCell ref="B23:C23"/>
    <mergeCell ref="L23:M23"/>
    <mergeCell ref="B24:C24"/>
    <mergeCell ref="L24:M24"/>
    <mergeCell ref="B25:C25"/>
    <mergeCell ref="L25:M25"/>
    <mergeCell ref="Q20:Q21"/>
    <mergeCell ref="R20:R21"/>
    <mergeCell ref="S20:S21"/>
    <mergeCell ref="T20:T21"/>
    <mergeCell ref="B22:G22"/>
    <mergeCell ref="L22:Q22"/>
    <mergeCell ref="I20:I21"/>
    <mergeCell ref="J20:J21"/>
    <mergeCell ref="L20:M21"/>
    <mergeCell ref="N20:N21"/>
    <mergeCell ref="O20:O21"/>
    <mergeCell ref="P20:P21"/>
    <mergeCell ref="B20:C21"/>
    <mergeCell ref="D20:D21"/>
    <mergeCell ref="E20:E21"/>
    <mergeCell ref="F20:F21"/>
    <mergeCell ref="G20:G21"/>
    <mergeCell ref="H20:H21"/>
    <mergeCell ref="B15:C15"/>
    <mergeCell ref="L15:M15"/>
    <mergeCell ref="B17:C17"/>
    <mergeCell ref="L17:M17"/>
    <mergeCell ref="B12:C12"/>
    <mergeCell ref="L12:M12"/>
    <mergeCell ref="B13:C13"/>
    <mergeCell ref="L13:M13"/>
    <mergeCell ref="B14:C14"/>
    <mergeCell ref="L14:M14"/>
    <mergeCell ref="B9:C9"/>
    <mergeCell ref="L9:M9"/>
    <mergeCell ref="B10:C10"/>
    <mergeCell ref="L10:M10"/>
    <mergeCell ref="B11:C11"/>
    <mergeCell ref="L11:M11"/>
    <mergeCell ref="B6:C6"/>
    <mergeCell ref="L6:M6"/>
    <mergeCell ref="B7:C7"/>
    <mergeCell ref="L7:M7"/>
    <mergeCell ref="B8:C8"/>
    <mergeCell ref="L8:M8"/>
    <mergeCell ref="Q3:Q4"/>
    <mergeCell ref="R3:R4"/>
    <mergeCell ref="S3:S4"/>
    <mergeCell ref="T3:T4"/>
    <mergeCell ref="B5:G5"/>
    <mergeCell ref="L5:Q5"/>
    <mergeCell ref="I3:I4"/>
    <mergeCell ref="J3:J4"/>
    <mergeCell ref="L3:M4"/>
    <mergeCell ref="N3:N4"/>
    <mergeCell ref="O3:O4"/>
    <mergeCell ref="P3:P4"/>
    <mergeCell ref="B3:C4"/>
    <mergeCell ref="D3:D4"/>
    <mergeCell ref="E3:E4"/>
    <mergeCell ref="F3:F4"/>
    <mergeCell ref="G3:G4"/>
    <mergeCell ref="H3:H4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AB298-AB5A-49EE-8F0E-8BAB86C330C8}">
  <dimension ref="B1:T119"/>
  <sheetViews>
    <sheetView zoomScaleNormal="100" zoomScaleSheetLayoutView="100" workbookViewId="0">
      <pane xSplit="3" ySplit="1" topLeftCell="D53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N78" sqref="N78"/>
    </sheetView>
  </sheetViews>
  <sheetFormatPr defaultColWidth="9.140625" defaultRowHeight="11.1" customHeight="1" x14ac:dyDescent="0.2"/>
  <cols>
    <col min="1" max="1" width="3.7109375" style="46" customWidth="1"/>
    <col min="2" max="2" width="2.5703125" style="47" customWidth="1"/>
    <col min="3" max="3" width="54.85546875" style="54" customWidth="1"/>
    <col min="4" max="6" width="10.7109375" style="46" customWidth="1"/>
    <col min="7" max="7" width="16" style="46" customWidth="1"/>
    <col min="8" max="8" width="10" style="46" bestFit="1" customWidth="1"/>
    <col min="9" max="9" width="10.7109375" style="46" customWidth="1"/>
    <col min="10" max="10" width="13" style="46" customWidth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ht="11.1" customHeight="1" x14ac:dyDescent="0.2">
      <c r="B1" s="48"/>
      <c r="C1" s="72"/>
      <c r="D1" s="48"/>
      <c r="E1" s="48"/>
      <c r="F1" s="48"/>
      <c r="G1" s="48"/>
      <c r="H1" s="48"/>
      <c r="I1" s="48"/>
      <c r="J1" s="48"/>
      <c r="K1" s="47"/>
      <c r="L1" s="48"/>
      <c r="M1" s="72"/>
      <c r="N1" s="48"/>
      <c r="O1" s="48"/>
      <c r="P1" s="48"/>
      <c r="Q1" s="48"/>
      <c r="R1" s="48"/>
      <c r="S1" s="48"/>
      <c r="T1" s="48"/>
    </row>
    <row r="2" spans="2:20" ht="11.1" customHeight="1" x14ac:dyDescent="0.2">
      <c r="B2" s="244" t="s">
        <v>59</v>
      </c>
      <c r="C2" s="253"/>
      <c r="D2" s="241" t="s">
        <v>196</v>
      </c>
      <c r="E2" s="241" t="s">
        <v>197</v>
      </c>
      <c r="F2" s="241" t="s">
        <v>198</v>
      </c>
      <c r="G2" s="241" t="s">
        <v>199</v>
      </c>
      <c r="H2" s="241" t="s">
        <v>200</v>
      </c>
      <c r="I2" s="241" t="s">
        <v>201</v>
      </c>
      <c r="J2" s="241" t="s">
        <v>202</v>
      </c>
      <c r="K2" s="47"/>
      <c r="L2" s="244" t="s">
        <v>59</v>
      </c>
      <c r="M2" s="253"/>
      <c r="N2" s="241" t="s">
        <v>196</v>
      </c>
      <c r="O2" s="241" t="s">
        <v>197</v>
      </c>
      <c r="P2" s="241" t="s">
        <v>198</v>
      </c>
      <c r="Q2" s="241" t="s">
        <v>199</v>
      </c>
      <c r="R2" s="241" t="s">
        <v>200</v>
      </c>
      <c r="S2" s="241" t="s">
        <v>201</v>
      </c>
      <c r="T2" s="241" t="s">
        <v>202</v>
      </c>
    </row>
    <row r="3" spans="2:20" ht="11.1" customHeight="1" x14ac:dyDescent="0.2">
      <c r="B3" s="254"/>
      <c r="C3" s="255"/>
      <c r="D3" s="242"/>
      <c r="E3" s="242"/>
      <c r="F3" s="242"/>
      <c r="G3" s="242"/>
      <c r="H3" s="242"/>
      <c r="I3" s="242"/>
      <c r="J3" s="242"/>
      <c r="K3" s="47"/>
      <c r="L3" s="254"/>
      <c r="M3" s="255"/>
      <c r="N3" s="242"/>
      <c r="O3" s="242"/>
      <c r="P3" s="242"/>
      <c r="Q3" s="242"/>
      <c r="R3" s="242"/>
      <c r="S3" s="242"/>
      <c r="T3" s="242"/>
    </row>
    <row r="4" spans="2:20" ht="11.1" customHeight="1" x14ac:dyDescent="0.2">
      <c r="B4" s="248" t="s">
        <v>223</v>
      </c>
      <c r="C4" s="249"/>
      <c r="D4" s="249"/>
      <c r="E4" s="249"/>
      <c r="F4" s="249"/>
      <c r="G4" s="249"/>
      <c r="H4" s="73"/>
      <c r="I4" s="73"/>
      <c r="J4" s="74"/>
      <c r="K4" s="47"/>
      <c r="L4" s="248" t="s">
        <v>223</v>
      </c>
      <c r="M4" s="249"/>
      <c r="N4" s="249"/>
      <c r="O4" s="249"/>
      <c r="P4" s="249"/>
      <c r="Q4" s="249"/>
      <c r="R4" s="73"/>
      <c r="S4" s="73"/>
      <c r="T4" s="74"/>
    </row>
    <row r="5" spans="2:20" ht="11.1" customHeight="1" x14ac:dyDescent="0.2">
      <c r="B5" s="251" t="s">
        <v>204</v>
      </c>
      <c r="C5" s="252"/>
      <c r="D5" s="52">
        <v>83961</v>
      </c>
      <c r="E5" s="52">
        <v>80276</v>
      </c>
      <c r="F5" s="52">
        <v>60299</v>
      </c>
      <c r="G5" s="52"/>
      <c r="H5" s="52">
        <f>SUM(D5:G5)</f>
        <v>224536</v>
      </c>
      <c r="I5" s="52"/>
      <c r="J5" s="52">
        <f t="shared" ref="J5:J16" si="0">H5+I5</f>
        <v>224536</v>
      </c>
      <c r="K5" s="47"/>
      <c r="L5" s="251" t="s">
        <v>204</v>
      </c>
      <c r="M5" s="252"/>
      <c r="N5" s="52">
        <v>83961</v>
      </c>
      <c r="O5" s="52">
        <v>80276</v>
      </c>
      <c r="P5" s="52">
        <v>60299</v>
      </c>
      <c r="Q5" s="52"/>
      <c r="R5" s="52">
        <f>SUM(N5:Q5)</f>
        <v>224536</v>
      </c>
      <c r="S5" s="52"/>
      <c r="T5" s="52">
        <f t="shared" ref="T5:T16" si="1">R5+S5</f>
        <v>224536</v>
      </c>
    </row>
    <row r="6" spans="2:20" ht="11.1" customHeight="1" x14ac:dyDescent="0.2">
      <c r="B6" s="251" t="s">
        <v>33</v>
      </c>
      <c r="C6" s="252"/>
      <c r="D6" s="52">
        <v>61397</v>
      </c>
      <c r="E6" s="52">
        <v>59860</v>
      </c>
      <c r="F6" s="52">
        <v>40261</v>
      </c>
      <c r="G6" s="52"/>
      <c r="H6" s="52">
        <f t="shared" ref="H6:H16" si="2">SUM(D6:G6)</f>
        <v>161518</v>
      </c>
      <c r="I6" s="52"/>
      <c r="J6" s="52">
        <f t="shared" si="0"/>
        <v>161518</v>
      </c>
      <c r="K6" s="47"/>
      <c r="L6" s="251" t="s">
        <v>33</v>
      </c>
      <c r="M6" s="252"/>
      <c r="N6" s="52">
        <v>61397</v>
      </c>
      <c r="O6" s="52">
        <v>59860</v>
      </c>
      <c r="P6" s="52">
        <v>40261</v>
      </c>
      <c r="Q6" s="52"/>
      <c r="R6" s="52">
        <f t="shared" ref="R6:R16" si="3">SUM(N6:Q6)</f>
        <v>161518</v>
      </c>
      <c r="S6" s="52"/>
      <c r="T6" s="52">
        <f t="shared" si="1"/>
        <v>161518</v>
      </c>
    </row>
    <row r="7" spans="2:20" ht="11.1" customHeight="1" x14ac:dyDescent="0.2">
      <c r="B7" s="233" t="s">
        <v>205</v>
      </c>
      <c r="C7" s="234"/>
      <c r="D7" s="49">
        <f>D5-D6</f>
        <v>22564</v>
      </c>
      <c r="E7" s="49">
        <f>E5-E6</f>
        <v>20416</v>
      </c>
      <c r="F7" s="49">
        <f>F5-F6</f>
        <v>20038</v>
      </c>
      <c r="G7" s="49">
        <f>G5-G6</f>
        <v>0</v>
      </c>
      <c r="H7" s="49">
        <f t="shared" si="2"/>
        <v>63018</v>
      </c>
      <c r="I7" s="49">
        <f>I5-I6</f>
        <v>0</v>
      </c>
      <c r="J7" s="49">
        <f t="shared" si="0"/>
        <v>63018</v>
      </c>
      <c r="K7" s="47"/>
      <c r="L7" s="233" t="s">
        <v>205</v>
      </c>
      <c r="M7" s="234"/>
      <c r="N7" s="49">
        <f>N5-N6</f>
        <v>22564</v>
      </c>
      <c r="O7" s="49">
        <f>O5-O6</f>
        <v>20416</v>
      </c>
      <c r="P7" s="49">
        <f>P5-P6</f>
        <v>20038</v>
      </c>
      <c r="Q7" s="49">
        <f>Q5-Q6</f>
        <v>0</v>
      </c>
      <c r="R7" s="49">
        <f t="shared" si="3"/>
        <v>63018</v>
      </c>
      <c r="S7" s="49">
        <f>S5-S6</f>
        <v>0</v>
      </c>
      <c r="T7" s="49">
        <f t="shared" si="1"/>
        <v>63018</v>
      </c>
    </row>
    <row r="8" spans="2:20" ht="11.1" customHeight="1" x14ac:dyDescent="0.2">
      <c r="B8" s="235" t="s">
        <v>4</v>
      </c>
      <c r="C8" s="236"/>
      <c r="D8" s="52">
        <v>3695</v>
      </c>
      <c r="E8" s="52">
        <v>1614</v>
      </c>
      <c r="F8" s="52">
        <v>3562</v>
      </c>
      <c r="G8" s="52">
        <v>172</v>
      </c>
      <c r="H8" s="52">
        <f t="shared" si="2"/>
        <v>9043</v>
      </c>
      <c r="I8" s="52"/>
      <c r="J8" s="52">
        <f t="shared" si="0"/>
        <v>9043</v>
      </c>
      <c r="K8" s="47"/>
      <c r="L8" s="235" t="s">
        <v>4</v>
      </c>
      <c r="M8" s="236"/>
      <c r="N8" s="52">
        <v>3695</v>
      </c>
      <c r="O8" s="52">
        <v>1614</v>
      </c>
      <c r="P8" s="52">
        <v>3562</v>
      </c>
      <c r="Q8" s="52">
        <v>172</v>
      </c>
      <c r="R8" s="52">
        <f t="shared" si="3"/>
        <v>9043</v>
      </c>
      <c r="S8" s="52"/>
      <c r="T8" s="52">
        <f t="shared" si="1"/>
        <v>9043</v>
      </c>
    </row>
    <row r="9" spans="2:20" ht="11.1" customHeight="1" x14ac:dyDescent="0.2">
      <c r="B9" s="235" t="s">
        <v>5</v>
      </c>
      <c r="C9" s="236"/>
      <c r="D9" s="52">
        <v>13736</v>
      </c>
      <c r="E9" s="52">
        <v>7516</v>
      </c>
      <c r="F9" s="52">
        <v>10095</v>
      </c>
      <c r="G9" s="52">
        <v>1054</v>
      </c>
      <c r="H9" s="52">
        <f t="shared" si="2"/>
        <v>32401</v>
      </c>
      <c r="I9" s="52"/>
      <c r="J9" s="52">
        <f t="shared" si="0"/>
        <v>32401</v>
      </c>
      <c r="K9" s="47"/>
      <c r="L9" s="235" t="s">
        <v>5</v>
      </c>
      <c r="M9" s="236"/>
      <c r="N9" s="52">
        <v>13736</v>
      </c>
      <c r="O9" s="52">
        <v>7516</v>
      </c>
      <c r="P9" s="52">
        <v>10095</v>
      </c>
      <c r="Q9" s="52">
        <v>1054</v>
      </c>
      <c r="R9" s="52">
        <f t="shared" si="3"/>
        <v>32401</v>
      </c>
      <c r="S9" s="52"/>
      <c r="T9" s="52">
        <f t="shared" si="1"/>
        <v>32401</v>
      </c>
    </row>
    <row r="10" spans="2:20" ht="11.1" customHeight="1" x14ac:dyDescent="0.2">
      <c r="B10" s="233" t="s">
        <v>206</v>
      </c>
      <c r="C10" s="234"/>
      <c r="D10" s="49">
        <f>D7-D8-D9</f>
        <v>5133</v>
      </c>
      <c r="E10" s="49">
        <f>E7-E8-E9</f>
        <v>11286</v>
      </c>
      <c r="F10" s="49">
        <f>F7-F8-F9</f>
        <v>6381</v>
      </c>
      <c r="G10" s="49">
        <f>G7-G8-G9</f>
        <v>-1226</v>
      </c>
      <c r="H10" s="49">
        <f t="shared" si="2"/>
        <v>21574</v>
      </c>
      <c r="I10" s="49">
        <f>I7-I8-I9</f>
        <v>0</v>
      </c>
      <c r="J10" s="49">
        <f t="shared" si="0"/>
        <v>21574</v>
      </c>
      <c r="K10" s="47"/>
      <c r="L10" s="233" t="s">
        <v>206</v>
      </c>
      <c r="M10" s="234"/>
      <c r="N10" s="49">
        <f>N7-N8-N9</f>
        <v>5133</v>
      </c>
      <c r="O10" s="49">
        <f>O7-O8-O9</f>
        <v>11286</v>
      </c>
      <c r="P10" s="49">
        <f>P7-P8-P9</f>
        <v>6381</v>
      </c>
      <c r="Q10" s="49">
        <f>Q7-Q8-Q9</f>
        <v>-1226</v>
      </c>
      <c r="R10" s="49">
        <f t="shared" si="3"/>
        <v>21574</v>
      </c>
      <c r="S10" s="49">
        <f>S7-S8-S9</f>
        <v>0</v>
      </c>
      <c r="T10" s="49">
        <f t="shared" si="1"/>
        <v>21574</v>
      </c>
    </row>
    <row r="11" spans="2:20" ht="11.1" customHeight="1" x14ac:dyDescent="0.2">
      <c r="B11" s="235" t="s">
        <v>207</v>
      </c>
      <c r="C11" s="236"/>
      <c r="D11" s="52">
        <v>169</v>
      </c>
      <c r="E11" s="52">
        <v>-133</v>
      </c>
      <c r="F11" s="52">
        <v>-1220</v>
      </c>
      <c r="G11" s="52">
        <v>0</v>
      </c>
      <c r="H11" s="52">
        <f t="shared" si="2"/>
        <v>-1184</v>
      </c>
      <c r="I11" s="52">
        <v>0</v>
      </c>
      <c r="J11" s="52">
        <f t="shared" si="0"/>
        <v>-1184</v>
      </c>
      <c r="K11" s="47"/>
      <c r="L11" s="235" t="s">
        <v>207</v>
      </c>
      <c r="M11" s="236"/>
      <c r="N11" s="52">
        <v>169</v>
      </c>
      <c r="O11" s="52">
        <v>-133</v>
      </c>
      <c r="P11" s="52">
        <v>-1220</v>
      </c>
      <c r="Q11" s="52">
        <v>0</v>
      </c>
      <c r="R11" s="52">
        <f t="shared" si="3"/>
        <v>-1184</v>
      </c>
      <c r="S11" s="52">
        <v>0</v>
      </c>
      <c r="T11" s="52">
        <f t="shared" si="1"/>
        <v>-1184</v>
      </c>
    </row>
    <row r="12" spans="2:20" ht="11.1" customHeight="1" x14ac:dyDescent="0.2">
      <c r="B12" s="237" t="s">
        <v>208</v>
      </c>
      <c r="C12" s="250"/>
      <c r="D12" s="52">
        <v>0</v>
      </c>
      <c r="E12" s="52">
        <v>0</v>
      </c>
      <c r="F12" s="52">
        <v>-6</v>
      </c>
      <c r="G12" s="52">
        <v>0</v>
      </c>
      <c r="H12" s="52">
        <f t="shared" si="2"/>
        <v>-6</v>
      </c>
      <c r="I12" s="52"/>
      <c r="J12" s="52">
        <f t="shared" si="0"/>
        <v>-6</v>
      </c>
      <c r="K12" s="47"/>
      <c r="L12" s="237" t="s">
        <v>208</v>
      </c>
      <c r="M12" s="250"/>
      <c r="N12" s="52">
        <v>0</v>
      </c>
      <c r="O12" s="52">
        <v>0</v>
      </c>
      <c r="P12" s="52">
        <v>-6</v>
      </c>
      <c r="Q12" s="52">
        <v>0</v>
      </c>
      <c r="R12" s="52">
        <f t="shared" si="3"/>
        <v>-6</v>
      </c>
      <c r="S12" s="52"/>
      <c r="T12" s="52">
        <f t="shared" si="1"/>
        <v>-6</v>
      </c>
    </row>
    <row r="13" spans="2:20" ht="11.1" customHeight="1" x14ac:dyDescent="0.2">
      <c r="B13" s="237" t="s">
        <v>27</v>
      </c>
      <c r="C13" s="250"/>
      <c r="D13" s="52"/>
      <c r="E13" s="52"/>
      <c r="F13" s="52"/>
      <c r="G13" s="52"/>
      <c r="H13" s="52">
        <f t="shared" si="2"/>
        <v>0</v>
      </c>
      <c r="I13" s="52">
        <v>0</v>
      </c>
      <c r="J13" s="52">
        <f t="shared" si="0"/>
        <v>0</v>
      </c>
      <c r="K13" s="47"/>
      <c r="L13" s="237" t="s">
        <v>27</v>
      </c>
      <c r="M13" s="250"/>
      <c r="N13" s="52"/>
      <c r="O13" s="52"/>
      <c r="P13" s="52"/>
      <c r="Q13" s="52"/>
      <c r="R13" s="52">
        <f t="shared" si="3"/>
        <v>0</v>
      </c>
      <c r="S13" s="52">
        <v>0</v>
      </c>
      <c r="T13" s="52">
        <f t="shared" si="1"/>
        <v>0</v>
      </c>
    </row>
    <row r="14" spans="2:20" ht="11.1" customHeight="1" x14ac:dyDescent="0.2">
      <c r="B14" s="233" t="s">
        <v>209</v>
      </c>
      <c r="C14" s="234"/>
      <c r="D14" s="49">
        <f t="shared" ref="D14:G14" si="4">D10+D11+D12+D13</f>
        <v>5302</v>
      </c>
      <c r="E14" s="49">
        <f t="shared" si="4"/>
        <v>11153</v>
      </c>
      <c r="F14" s="49">
        <f t="shared" si="4"/>
        <v>5155</v>
      </c>
      <c r="G14" s="49">
        <f t="shared" si="4"/>
        <v>-1226</v>
      </c>
      <c r="H14" s="49">
        <f t="shared" si="2"/>
        <v>20384</v>
      </c>
      <c r="I14" s="49">
        <f>I10+I11+I13</f>
        <v>0</v>
      </c>
      <c r="J14" s="49">
        <f t="shared" si="0"/>
        <v>20384</v>
      </c>
      <c r="K14" s="47"/>
      <c r="L14" s="233" t="s">
        <v>209</v>
      </c>
      <c r="M14" s="234"/>
      <c r="N14" s="49">
        <f t="shared" ref="N14:Q14" si="5">N10+N11+N12+N13</f>
        <v>5302</v>
      </c>
      <c r="O14" s="49">
        <f t="shared" si="5"/>
        <v>11153</v>
      </c>
      <c r="P14" s="49">
        <f t="shared" si="5"/>
        <v>5155</v>
      </c>
      <c r="Q14" s="49">
        <f t="shared" si="5"/>
        <v>-1226</v>
      </c>
      <c r="R14" s="49">
        <f t="shared" si="3"/>
        <v>20384</v>
      </c>
      <c r="S14" s="49">
        <f>S10+S11+S13</f>
        <v>0</v>
      </c>
      <c r="T14" s="49">
        <f t="shared" si="1"/>
        <v>20384</v>
      </c>
    </row>
    <row r="15" spans="2:20" ht="11.1" customHeight="1" x14ac:dyDescent="0.2">
      <c r="B15" s="77" t="s">
        <v>22</v>
      </c>
      <c r="C15" s="78"/>
      <c r="D15" s="49">
        <v>6469</v>
      </c>
      <c r="E15" s="49">
        <v>3751</v>
      </c>
      <c r="F15" s="49">
        <v>2569</v>
      </c>
      <c r="G15" s="49">
        <v>0</v>
      </c>
      <c r="H15" s="49">
        <f t="shared" si="2"/>
        <v>12789</v>
      </c>
      <c r="I15" s="49">
        <v>0</v>
      </c>
      <c r="J15" s="49">
        <f t="shared" si="0"/>
        <v>12789</v>
      </c>
      <c r="K15" s="47"/>
      <c r="L15" s="77" t="s">
        <v>22</v>
      </c>
      <c r="M15" s="78"/>
      <c r="N15" s="49">
        <v>6469</v>
      </c>
      <c r="O15" s="49">
        <v>3751</v>
      </c>
      <c r="P15" s="49">
        <v>2569</v>
      </c>
      <c r="Q15" s="49">
        <v>0</v>
      </c>
      <c r="R15" s="49">
        <f t="shared" si="3"/>
        <v>12789</v>
      </c>
      <c r="S15" s="49">
        <v>0</v>
      </c>
      <c r="T15" s="49">
        <f t="shared" si="1"/>
        <v>12789</v>
      </c>
    </row>
    <row r="16" spans="2:20" ht="11.1" customHeight="1" x14ac:dyDescent="0.2">
      <c r="B16" s="233" t="s">
        <v>23</v>
      </c>
      <c r="C16" s="234"/>
      <c r="D16" s="49">
        <f>D14+D15</f>
        <v>11771</v>
      </c>
      <c r="E16" s="49">
        <f t="shared" ref="E16:G16" si="6">E14+E15</f>
        <v>14904</v>
      </c>
      <c r="F16" s="49">
        <f t="shared" si="6"/>
        <v>7724</v>
      </c>
      <c r="G16" s="49">
        <f t="shared" si="6"/>
        <v>-1226</v>
      </c>
      <c r="H16" s="49">
        <f t="shared" si="2"/>
        <v>33173</v>
      </c>
      <c r="I16" s="49">
        <f t="shared" ref="I16" si="7">I14+I15</f>
        <v>0</v>
      </c>
      <c r="J16" s="49">
        <f t="shared" si="0"/>
        <v>33173</v>
      </c>
      <c r="K16" s="47"/>
      <c r="L16" s="233" t="s">
        <v>23</v>
      </c>
      <c r="M16" s="234"/>
      <c r="N16" s="49">
        <f>N14+N15</f>
        <v>11771</v>
      </c>
      <c r="O16" s="49">
        <f t="shared" ref="O16:Q16" si="8">O14+O15</f>
        <v>14904</v>
      </c>
      <c r="P16" s="49">
        <f t="shared" si="8"/>
        <v>7724</v>
      </c>
      <c r="Q16" s="49">
        <f t="shared" si="8"/>
        <v>-1226</v>
      </c>
      <c r="R16" s="49">
        <f t="shared" si="3"/>
        <v>33173</v>
      </c>
      <c r="S16" s="49">
        <f t="shared" ref="S16" si="9">S14+S15</f>
        <v>0</v>
      </c>
      <c r="T16" s="49">
        <f t="shared" si="1"/>
        <v>33173</v>
      </c>
    </row>
    <row r="17" spans="2:20" ht="11.1" customHeight="1" x14ac:dyDescent="0.2">
      <c r="B17" s="248" t="s">
        <v>203</v>
      </c>
      <c r="C17" s="249"/>
      <c r="D17" s="249"/>
      <c r="E17" s="249"/>
      <c r="F17" s="249"/>
      <c r="G17" s="249"/>
      <c r="H17" s="73"/>
      <c r="I17" s="73"/>
      <c r="J17" s="73"/>
      <c r="K17" s="47"/>
      <c r="L17" s="248" t="s">
        <v>203</v>
      </c>
      <c r="M17" s="249"/>
      <c r="N17" s="249"/>
      <c r="O17" s="249"/>
      <c r="P17" s="249"/>
      <c r="Q17" s="249"/>
      <c r="R17" s="73"/>
      <c r="S17" s="73"/>
      <c r="T17" s="73"/>
    </row>
    <row r="18" spans="2:20" ht="11.1" customHeight="1" x14ac:dyDescent="0.2">
      <c r="B18" s="251" t="s">
        <v>204</v>
      </c>
      <c r="C18" s="252"/>
      <c r="D18" s="52">
        <v>95083</v>
      </c>
      <c r="E18" s="52">
        <v>56702</v>
      </c>
      <c r="F18" s="52">
        <v>60694</v>
      </c>
      <c r="G18" s="52">
        <v>0</v>
      </c>
      <c r="H18" s="52">
        <f t="shared" ref="H18:H29" si="10">SUM(D18:G18)</f>
        <v>212479</v>
      </c>
      <c r="I18" s="52">
        <f t="shared" ref="I18:I29" si="11">SUM(D18:H18)</f>
        <v>424958</v>
      </c>
      <c r="J18" s="52">
        <f t="shared" ref="J18:J29" si="12">H18+I18</f>
        <v>637437</v>
      </c>
      <c r="K18" s="47"/>
      <c r="L18" s="251" t="s">
        <v>204</v>
      </c>
      <c r="M18" s="252"/>
      <c r="N18" s="52">
        <v>95083</v>
      </c>
      <c r="O18" s="52">
        <v>56702</v>
      </c>
      <c r="P18" s="52">
        <v>60694</v>
      </c>
      <c r="Q18" s="52">
        <v>0</v>
      </c>
      <c r="R18" s="52">
        <f t="shared" ref="R18:R29" si="13">SUM(N18:Q18)</f>
        <v>212479</v>
      </c>
      <c r="S18" s="52">
        <f t="shared" ref="S18:S29" si="14">SUM(N18:R18)</f>
        <v>424958</v>
      </c>
      <c r="T18" s="52">
        <f t="shared" ref="T18:T29" si="15">R18+S18</f>
        <v>637437</v>
      </c>
    </row>
    <row r="19" spans="2:20" ht="11.1" customHeight="1" x14ac:dyDescent="0.2">
      <c r="B19" s="251" t="s">
        <v>33</v>
      </c>
      <c r="C19" s="252"/>
      <c r="D19" s="52">
        <v>69117</v>
      </c>
      <c r="E19" s="52">
        <v>42503</v>
      </c>
      <c r="F19" s="52">
        <v>37488</v>
      </c>
      <c r="G19" s="52">
        <v>0</v>
      </c>
      <c r="H19" s="52">
        <f t="shared" si="10"/>
        <v>149108</v>
      </c>
      <c r="I19" s="52">
        <f t="shared" si="11"/>
        <v>298216</v>
      </c>
      <c r="J19" s="52">
        <f t="shared" si="12"/>
        <v>447324</v>
      </c>
      <c r="K19" s="47"/>
      <c r="L19" s="251" t="s">
        <v>33</v>
      </c>
      <c r="M19" s="252"/>
      <c r="N19" s="52">
        <v>69117</v>
      </c>
      <c r="O19" s="52">
        <v>42503</v>
      </c>
      <c r="P19" s="52">
        <v>37488</v>
      </c>
      <c r="Q19" s="52">
        <v>0</v>
      </c>
      <c r="R19" s="52">
        <f t="shared" si="13"/>
        <v>149108</v>
      </c>
      <c r="S19" s="52">
        <f t="shared" si="14"/>
        <v>298216</v>
      </c>
      <c r="T19" s="52">
        <f t="shared" si="15"/>
        <v>447324</v>
      </c>
    </row>
    <row r="20" spans="2:20" ht="11.1" customHeight="1" x14ac:dyDescent="0.2">
      <c r="B20" s="233" t="s">
        <v>205</v>
      </c>
      <c r="C20" s="234"/>
      <c r="D20" s="49">
        <f>D18-D19</f>
        <v>25966</v>
      </c>
      <c r="E20" s="49">
        <f>E18-E19</f>
        <v>14199</v>
      </c>
      <c r="F20" s="49">
        <f>F18-F19</f>
        <v>23206</v>
      </c>
      <c r="G20" s="49">
        <f>G18-G19</f>
        <v>0</v>
      </c>
      <c r="H20" s="49">
        <f t="shared" si="10"/>
        <v>63371</v>
      </c>
      <c r="I20" s="49">
        <f t="shared" si="11"/>
        <v>126742</v>
      </c>
      <c r="J20" s="49">
        <f t="shared" si="12"/>
        <v>190113</v>
      </c>
      <c r="K20" s="47"/>
      <c r="L20" s="233" t="s">
        <v>205</v>
      </c>
      <c r="M20" s="234"/>
      <c r="N20" s="49">
        <f>N18-N19</f>
        <v>25966</v>
      </c>
      <c r="O20" s="49">
        <f>O18-O19</f>
        <v>14199</v>
      </c>
      <c r="P20" s="49">
        <f>P18-P19</f>
        <v>23206</v>
      </c>
      <c r="Q20" s="49">
        <f>Q18-Q19</f>
        <v>0</v>
      </c>
      <c r="R20" s="49">
        <f t="shared" si="13"/>
        <v>63371</v>
      </c>
      <c r="S20" s="49">
        <f t="shared" si="14"/>
        <v>126742</v>
      </c>
      <c r="T20" s="49">
        <f t="shared" si="15"/>
        <v>190113</v>
      </c>
    </row>
    <row r="21" spans="2:20" ht="11.1" customHeight="1" x14ac:dyDescent="0.2">
      <c r="B21" s="235" t="s">
        <v>4</v>
      </c>
      <c r="C21" s="236"/>
      <c r="D21" s="52">
        <v>3538</v>
      </c>
      <c r="E21" s="52">
        <v>1265</v>
      </c>
      <c r="F21" s="52">
        <v>3924</v>
      </c>
      <c r="G21" s="52">
        <v>80.31</v>
      </c>
      <c r="H21" s="52">
        <f t="shared" si="10"/>
        <v>8807.31</v>
      </c>
      <c r="I21" s="52">
        <f t="shared" si="11"/>
        <v>17614.62</v>
      </c>
      <c r="J21" s="52">
        <f t="shared" si="12"/>
        <v>26421.93</v>
      </c>
      <c r="K21" s="47"/>
      <c r="L21" s="235" t="s">
        <v>4</v>
      </c>
      <c r="M21" s="236"/>
      <c r="N21" s="52">
        <v>3538</v>
      </c>
      <c r="O21" s="52">
        <v>1265</v>
      </c>
      <c r="P21" s="52">
        <v>3924</v>
      </c>
      <c r="Q21" s="52">
        <v>80.31</v>
      </c>
      <c r="R21" s="52">
        <f t="shared" si="13"/>
        <v>8807.31</v>
      </c>
      <c r="S21" s="52">
        <f t="shared" si="14"/>
        <v>17614.62</v>
      </c>
      <c r="T21" s="52">
        <f t="shared" si="15"/>
        <v>26421.93</v>
      </c>
    </row>
    <row r="22" spans="2:20" ht="11.1" customHeight="1" x14ac:dyDescent="0.2">
      <c r="B22" s="235" t="s">
        <v>5</v>
      </c>
      <c r="C22" s="236"/>
      <c r="D22" s="52">
        <v>15004</v>
      </c>
      <c r="E22" s="52">
        <v>6467</v>
      </c>
      <c r="F22" s="52">
        <v>10172</v>
      </c>
      <c r="G22" s="52">
        <v>580</v>
      </c>
      <c r="H22" s="52">
        <f t="shared" si="10"/>
        <v>32223</v>
      </c>
      <c r="I22" s="52">
        <f t="shared" si="11"/>
        <v>64446</v>
      </c>
      <c r="J22" s="52">
        <f t="shared" si="12"/>
        <v>96669</v>
      </c>
      <c r="K22" s="47"/>
      <c r="L22" s="235" t="s">
        <v>5</v>
      </c>
      <c r="M22" s="236"/>
      <c r="N22" s="52">
        <v>15004</v>
      </c>
      <c r="O22" s="52">
        <v>6467</v>
      </c>
      <c r="P22" s="52">
        <v>10172</v>
      </c>
      <c r="Q22" s="52">
        <v>580</v>
      </c>
      <c r="R22" s="52">
        <f t="shared" si="13"/>
        <v>32223</v>
      </c>
      <c r="S22" s="52">
        <f t="shared" si="14"/>
        <v>64446</v>
      </c>
      <c r="T22" s="52">
        <f t="shared" si="15"/>
        <v>96669</v>
      </c>
    </row>
    <row r="23" spans="2:20" ht="11.1" customHeight="1" x14ac:dyDescent="0.2">
      <c r="B23" s="233" t="s">
        <v>206</v>
      </c>
      <c r="C23" s="234"/>
      <c r="D23" s="49">
        <f>D20-D21-D22</f>
        <v>7424</v>
      </c>
      <c r="E23" s="49">
        <f>E20-E21-E22</f>
        <v>6467</v>
      </c>
      <c r="F23" s="49">
        <f>F20-F21-F22</f>
        <v>9110</v>
      </c>
      <c r="G23" s="49">
        <f>G20-G21-G22</f>
        <v>-660.31</v>
      </c>
      <c r="H23" s="49">
        <f t="shared" si="10"/>
        <v>22340.69</v>
      </c>
      <c r="I23" s="49">
        <f t="shared" si="11"/>
        <v>44681.38</v>
      </c>
      <c r="J23" s="49">
        <f t="shared" si="12"/>
        <v>67022.069999999992</v>
      </c>
      <c r="K23" s="47"/>
      <c r="L23" s="233" t="s">
        <v>206</v>
      </c>
      <c r="M23" s="234"/>
      <c r="N23" s="49">
        <f>N20-N21-N22</f>
        <v>7424</v>
      </c>
      <c r="O23" s="49">
        <f>O20-O21-O22</f>
        <v>6467</v>
      </c>
      <c r="P23" s="49">
        <f>P20-P21-P22</f>
        <v>9110</v>
      </c>
      <c r="Q23" s="49">
        <f>Q20-Q21-Q22</f>
        <v>-660.31</v>
      </c>
      <c r="R23" s="49">
        <f t="shared" si="13"/>
        <v>22340.69</v>
      </c>
      <c r="S23" s="49">
        <f t="shared" si="14"/>
        <v>44681.38</v>
      </c>
      <c r="T23" s="49">
        <f t="shared" si="15"/>
        <v>67022.069999999992</v>
      </c>
    </row>
    <row r="24" spans="2:20" ht="11.1" customHeight="1" x14ac:dyDescent="0.2">
      <c r="B24" s="235" t="s">
        <v>207</v>
      </c>
      <c r="C24" s="236"/>
      <c r="D24" s="52">
        <v>-252</v>
      </c>
      <c r="E24" s="52">
        <v>-76</v>
      </c>
      <c r="F24" s="52">
        <v>-629</v>
      </c>
      <c r="G24" s="52">
        <v>0</v>
      </c>
      <c r="H24" s="52">
        <f t="shared" si="10"/>
        <v>-957</v>
      </c>
      <c r="I24" s="52">
        <f t="shared" si="11"/>
        <v>-1914</v>
      </c>
      <c r="J24" s="52">
        <f t="shared" si="12"/>
        <v>-2871</v>
      </c>
      <c r="K24" s="47"/>
      <c r="L24" s="235" t="s">
        <v>207</v>
      </c>
      <c r="M24" s="236"/>
      <c r="N24" s="52">
        <v>-252</v>
      </c>
      <c r="O24" s="52">
        <v>-76</v>
      </c>
      <c r="P24" s="52">
        <v>-629</v>
      </c>
      <c r="Q24" s="52">
        <v>0</v>
      </c>
      <c r="R24" s="52">
        <f t="shared" si="13"/>
        <v>-957</v>
      </c>
      <c r="S24" s="52">
        <f t="shared" si="14"/>
        <v>-1914</v>
      </c>
      <c r="T24" s="52">
        <f t="shared" si="15"/>
        <v>-2871</v>
      </c>
    </row>
    <row r="25" spans="2:20" ht="11.1" customHeight="1" x14ac:dyDescent="0.2">
      <c r="B25" s="237" t="s">
        <v>208</v>
      </c>
      <c r="C25" s="250"/>
      <c r="D25" s="52">
        <v>0</v>
      </c>
      <c r="E25" s="52">
        <v>0</v>
      </c>
      <c r="F25" s="52">
        <v>235</v>
      </c>
      <c r="G25" s="52">
        <v>0</v>
      </c>
      <c r="H25" s="52">
        <f t="shared" si="10"/>
        <v>235</v>
      </c>
      <c r="I25" s="52">
        <f t="shared" si="11"/>
        <v>470</v>
      </c>
      <c r="J25" s="52">
        <f t="shared" si="12"/>
        <v>705</v>
      </c>
      <c r="K25" s="47"/>
      <c r="L25" s="237" t="s">
        <v>208</v>
      </c>
      <c r="M25" s="250"/>
      <c r="N25" s="52">
        <v>0</v>
      </c>
      <c r="O25" s="52">
        <v>0</v>
      </c>
      <c r="P25" s="52">
        <v>235</v>
      </c>
      <c r="Q25" s="52">
        <v>0</v>
      </c>
      <c r="R25" s="52">
        <f t="shared" si="13"/>
        <v>235</v>
      </c>
      <c r="S25" s="52">
        <f t="shared" si="14"/>
        <v>470</v>
      </c>
      <c r="T25" s="52">
        <f t="shared" si="15"/>
        <v>705</v>
      </c>
    </row>
    <row r="26" spans="2:20" ht="11.1" customHeight="1" x14ac:dyDescent="0.2">
      <c r="B26" s="237" t="s">
        <v>27</v>
      </c>
      <c r="C26" s="250"/>
      <c r="D26" s="52">
        <v>0</v>
      </c>
      <c r="E26" s="52"/>
      <c r="F26" s="52"/>
      <c r="G26" s="52">
        <v>0</v>
      </c>
      <c r="H26" s="52">
        <f t="shared" si="10"/>
        <v>0</v>
      </c>
      <c r="I26" s="52">
        <f t="shared" si="11"/>
        <v>0</v>
      </c>
      <c r="J26" s="52">
        <f t="shared" si="12"/>
        <v>0</v>
      </c>
      <c r="K26" s="47"/>
      <c r="L26" s="237" t="s">
        <v>27</v>
      </c>
      <c r="M26" s="250"/>
      <c r="N26" s="52">
        <v>0</v>
      </c>
      <c r="O26" s="52"/>
      <c r="P26" s="52"/>
      <c r="Q26" s="52">
        <v>0</v>
      </c>
      <c r="R26" s="52">
        <f t="shared" si="13"/>
        <v>0</v>
      </c>
      <c r="S26" s="52">
        <f t="shared" si="14"/>
        <v>0</v>
      </c>
      <c r="T26" s="52">
        <f t="shared" si="15"/>
        <v>0</v>
      </c>
    </row>
    <row r="27" spans="2:20" ht="11.1" customHeight="1" x14ac:dyDescent="0.2">
      <c r="B27" s="233" t="s">
        <v>209</v>
      </c>
      <c r="C27" s="234"/>
      <c r="D27" s="49">
        <f>D23+D24+D25+D26</f>
        <v>7172</v>
      </c>
      <c r="E27" s="49">
        <f>E23+E24+E25+E26</f>
        <v>6391</v>
      </c>
      <c r="F27" s="49">
        <f>F23+F24+F25+F26</f>
        <v>8716</v>
      </c>
      <c r="G27" s="49">
        <f>G23+G24+G25+G26</f>
        <v>-660.31</v>
      </c>
      <c r="H27" s="49">
        <f t="shared" si="10"/>
        <v>21618.69</v>
      </c>
      <c r="I27" s="49">
        <f t="shared" si="11"/>
        <v>43237.38</v>
      </c>
      <c r="J27" s="49">
        <f t="shared" si="12"/>
        <v>64856.069999999992</v>
      </c>
      <c r="K27" s="47"/>
      <c r="L27" s="233" t="s">
        <v>209</v>
      </c>
      <c r="M27" s="234"/>
      <c r="N27" s="49">
        <f>N23+N24+N25+N26</f>
        <v>7172</v>
      </c>
      <c r="O27" s="49">
        <f>O23+O24+O25+O26</f>
        <v>6391</v>
      </c>
      <c r="P27" s="49">
        <f>P23+P24+P25+P26</f>
        <v>8716</v>
      </c>
      <c r="Q27" s="49">
        <f>Q23+Q24+Q25+Q26</f>
        <v>-660.31</v>
      </c>
      <c r="R27" s="49">
        <f t="shared" si="13"/>
        <v>21618.69</v>
      </c>
      <c r="S27" s="49">
        <f t="shared" si="14"/>
        <v>43237.38</v>
      </c>
      <c r="T27" s="49">
        <f t="shared" si="15"/>
        <v>64856.069999999992</v>
      </c>
    </row>
    <row r="28" spans="2:20" ht="11.1" customHeight="1" x14ac:dyDescent="0.2">
      <c r="B28" s="77" t="s">
        <v>22</v>
      </c>
      <c r="C28" s="78"/>
      <c r="D28" s="49">
        <v>5964</v>
      </c>
      <c r="E28" s="49">
        <v>3369</v>
      </c>
      <c r="F28" s="49">
        <v>2363</v>
      </c>
      <c r="G28" s="49">
        <v>0</v>
      </c>
      <c r="H28" s="49">
        <f t="shared" si="10"/>
        <v>11696</v>
      </c>
      <c r="I28" s="49">
        <f t="shared" si="11"/>
        <v>23392</v>
      </c>
      <c r="J28" s="49">
        <f t="shared" si="12"/>
        <v>35088</v>
      </c>
      <c r="K28" s="47"/>
      <c r="L28" s="77" t="s">
        <v>22</v>
      </c>
      <c r="M28" s="78"/>
      <c r="N28" s="49">
        <v>5964</v>
      </c>
      <c r="O28" s="49">
        <v>3369</v>
      </c>
      <c r="P28" s="49">
        <v>2363</v>
      </c>
      <c r="Q28" s="49">
        <v>0</v>
      </c>
      <c r="R28" s="49">
        <f t="shared" si="13"/>
        <v>11696</v>
      </c>
      <c r="S28" s="49">
        <f t="shared" si="14"/>
        <v>23392</v>
      </c>
      <c r="T28" s="49">
        <f t="shared" si="15"/>
        <v>35088</v>
      </c>
    </row>
    <row r="29" spans="2:20" ht="11.1" customHeight="1" x14ac:dyDescent="0.2">
      <c r="B29" s="233" t="s">
        <v>23</v>
      </c>
      <c r="C29" s="234"/>
      <c r="D29" s="49">
        <f>D27+D28</f>
        <v>13136</v>
      </c>
      <c r="E29" s="49">
        <f t="shared" ref="E29:G29" si="16">E27+E28</f>
        <v>9760</v>
      </c>
      <c r="F29" s="49">
        <f t="shared" si="16"/>
        <v>11079</v>
      </c>
      <c r="G29" s="49">
        <f t="shared" si="16"/>
        <v>-660.31</v>
      </c>
      <c r="H29" s="49">
        <f t="shared" si="10"/>
        <v>33314.69</v>
      </c>
      <c r="I29" s="49">
        <f t="shared" si="11"/>
        <v>66629.38</v>
      </c>
      <c r="J29" s="49">
        <f t="shared" si="12"/>
        <v>99944.07</v>
      </c>
      <c r="K29" s="47"/>
      <c r="L29" s="233" t="s">
        <v>23</v>
      </c>
      <c r="M29" s="234"/>
      <c r="N29" s="49">
        <f>N27+N28</f>
        <v>13136</v>
      </c>
      <c r="O29" s="49">
        <f t="shared" ref="O29:Q29" si="17">O27+O28</f>
        <v>9760</v>
      </c>
      <c r="P29" s="49">
        <f t="shared" si="17"/>
        <v>11079</v>
      </c>
      <c r="Q29" s="49">
        <f t="shared" si="17"/>
        <v>-660.31</v>
      </c>
      <c r="R29" s="49">
        <f t="shared" si="13"/>
        <v>33314.69</v>
      </c>
      <c r="S29" s="49">
        <f t="shared" si="14"/>
        <v>66629.38</v>
      </c>
      <c r="T29" s="49">
        <f t="shared" si="15"/>
        <v>99944.07</v>
      </c>
    </row>
    <row r="30" spans="2:20" s="47" customFormat="1" ht="11.1" customHeight="1" x14ac:dyDescent="0.2">
      <c r="B30" s="79"/>
      <c r="C30" s="80"/>
      <c r="D30" s="79"/>
      <c r="E30" s="79"/>
      <c r="F30" s="79"/>
      <c r="G30" s="79"/>
      <c r="H30" s="79"/>
      <c r="I30" s="79"/>
      <c r="J30" s="79"/>
      <c r="L30" s="79"/>
      <c r="M30" s="80"/>
      <c r="N30" s="79"/>
      <c r="O30" s="79"/>
      <c r="P30" s="79"/>
      <c r="Q30" s="79"/>
      <c r="R30" s="79"/>
      <c r="S30" s="79"/>
      <c r="T30" s="79"/>
    </row>
    <row r="31" spans="2:20" s="47" customFormat="1" ht="11.1" customHeight="1" x14ac:dyDescent="0.2">
      <c r="B31" s="48"/>
      <c r="C31" s="72"/>
      <c r="D31" s="48"/>
      <c r="E31" s="48"/>
      <c r="F31" s="48"/>
      <c r="G31" s="48"/>
      <c r="H31" s="48"/>
      <c r="I31" s="48"/>
      <c r="J31" s="48"/>
      <c r="L31" s="48"/>
      <c r="M31" s="72"/>
      <c r="N31" s="48"/>
      <c r="O31" s="48"/>
      <c r="P31" s="48"/>
      <c r="Q31" s="48"/>
      <c r="R31" s="48"/>
      <c r="S31" s="48"/>
      <c r="T31" s="48"/>
    </row>
    <row r="32" spans="2:20" s="47" customFormat="1" ht="11.1" customHeight="1" x14ac:dyDescent="0.2">
      <c r="B32" s="244" t="s">
        <v>59</v>
      </c>
      <c r="C32" s="253"/>
      <c r="D32" s="241" t="s">
        <v>196</v>
      </c>
      <c r="E32" s="241" t="s">
        <v>197</v>
      </c>
      <c r="F32" s="241" t="s">
        <v>198</v>
      </c>
      <c r="G32" s="241" t="s">
        <v>199</v>
      </c>
      <c r="H32" s="241" t="s">
        <v>200</v>
      </c>
      <c r="I32" s="241" t="s">
        <v>201</v>
      </c>
      <c r="J32" s="241" t="s">
        <v>202</v>
      </c>
      <c r="L32" s="244" t="s">
        <v>59</v>
      </c>
      <c r="M32" s="253"/>
      <c r="N32" s="241" t="s">
        <v>196</v>
      </c>
      <c r="O32" s="241" t="s">
        <v>197</v>
      </c>
      <c r="P32" s="241" t="s">
        <v>198</v>
      </c>
      <c r="Q32" s="241" t="s">
        <v>199</v>
      </c>
      <c r="R32" s="241" t="s">
        <v>200</v>
      </c>
      <c r="S32" s="241" t="s">
        <v>201</v>
      </c>
      <c r="T32" s="241" t="s">
        <v>202</v>
      </c>
    </row>
    <row r="33" spans="2:20" s="47" customFormat="1" ht="11.1" customHeight="1" x14ac:dyDescent="0.2">
      <c r="B33" s="254"/>
      <c r="C33" s="255"/>
      <c r="D33" s="242"/>
      <c r="E33" s="242"/>
      <c r="F33" s="242"/>
      <c r="G33" s="242"/>
      <c r="H33" s="242"/>
      <c r="I33" s="242"/>
      <c r="J33" s="242"/>
      <c r="L33" s="254"/>
      <c r="M33" s="255"/>
      <c r="N33" s="242"/>
      <c r="O33" s="242"/>
      <c r="P33" s="242"/>
      <c r="Q33" s="242"/>
      <c r="R33" s="242"/>
      <c r="S33" s="242"/>
      <c r="T33" s="242"/>
    </row>
    <row r="34" spans="2:20" s="47" customFormat="1" ht="11.1" customHeight="1" x14ac:dyDescent="0.2">
      <c r="B34" s="248" t="s">
        <v>224</v>
      </c>
      <c r="C34" s="249"/>
      <c r="D34" s="249"/>
      <c r="E34" s="249"/>
      <c r="F34" s="249"/>
      <c r="G34" s="249"/>
      <c r="H34" s="73"/>
      <c r="I34" s="73"/>
      <c r="J34" s="74"/>
      <c r="L34" s="248" t="s">
        <v>225</v>
      </c>
      <c r="M34" s="249"/>
      <c r="N34" s="249"/>
      <c r="O34" s="249"/>
      <c r="P34" s="249"/>
      <c r="Q34" s="249"/>
      <c r="R34" s="73"/>
      <c r="S34" s="73"/>
      <c r="T34" s="74"/>
    </row>
    <row r="35" spans="2:20" s="47" customFormat="1" ht="11.1" customHeight="1" x14ac:dyDescent="0.2">
      <c r="B35" s="251" t="s">
        <v>204</v>
      </c>
      <c r="C35" s="252"/>
      <c r="D35" s="86">
        <v>203582</v>
      </c>
      <c r="E35" s="86">
        <v>147533</v>
      </c>
      <c r="F35" s="86">
        <v>110829</v>
      </c>
      <c r="G35" s="86">
        <v>0</v>
      </c>
      <c r="H35" s="52">
        <f>SUM(D35:G35)</f>
        <v>461944</v>
      </c>
      <c r="I35" s="52"/>
      <c r="J35" s="52">
        <f t="shared" ref="J35:J46" si="18">H35+I35</f>
        <v>461944</v>
      </c>
      <c r="L35" s="251" t="s">
        <v>204</v>
      </c>
      <c r="M35" s="252"/>
      <c r="N35" s="86">
        <f t="shared" ref="N35:Q36" si="19">D35-D5</f>
        <v>119621</v>
      </c>
      <c r="O35" s="86">
        <f t="shared" si="19"/>
        <v>67257</v>
      </c>
      <c r="P35" s="86">
        <f t="shared" si="19"/>
        <v>50530</v>
      </c>
      <c r="Q35" s="86">
        <f t="shared" si="19"/>
        <v>0</v>
      </c>
      <c r="R35" s="52">
        <f>SUM(N35:Q35)</f>
        <v>237408</v>
      </c>
      <c r="S35" s="52">
        <f>I35-I5</f>
        <v>0</v>
      </c>
      <c r="T35" s="52">
        <f t="shared" ref="T35:T46" si="20">R35+S35</f>
        <v>237408</v>
      </c>
    </row>
    <row r="36" spans="2:20" s="47" customFormat="1" ht="11.1" customHeight="1" x14ac:dyDescent="0.2">
      <c r="B36" s="251" t="s">
        <v>33</v>
      </c>
      <c r="C36" s="252"/>
      <c r="D36" s="86">
        <v>155090</v>
      </c>
      <c r="E36" s="86">
        <v>109196</v>
      </c>
      <c r="F36" s="86">
        <v>73124</v>
      </c>
      <c r="G36" s="86">
        <v>0</v>
      </c>
      <c r="H36" s="52">
        <f t="shared" ref="H36:H46" si="21">SUM(D36:G36)</f>
        <v>337410</v>
      </c>
      <c r="I36" s="52"/>
      <c r="J36" s="52">
        <f t="shared" si="18"/>
        <v>337410</v>
      </c>
      <c r="L36" s="251" t="s">
        <v>33</v>
      </c>
      <c r="M36" s="252"/>
      <c r="N36" s="86">
        <f t="shared" si="19"/>
        <v>93693</v>
      </c>
      <c r="O36" s="86">
        <f t="shared" si="19"/>
        <v>49336</v>
      </c>
      <c r="P36" s="86">
        <f t="shared" si="19"/>
        <v>32863</v>
      </c>
      <c r="Q36" s="86">
        <f t="shared" si="19"/>
        <v>0</v>
      </c>
      <c r="R36" s="52">
        <f t="shared" ref="R36:R46" si="22">SUM(N36:Q36)</f>
        <v>175892</v>
      </c>
      <c r="S36" s="52">
        <f>I36-I6</f>
        <v>0</v>
      </c>
      <c r="T36" s="52">
        <f t="shared" si="20"/>
        <v>175892</v>
      </c>
    </row>
    <row r="37" spans="2:20" s="47" customFormat="1" ht="11.1" customHeight="1" x14ac:dyDescent="0.2">
      <c r="B37" s="233" t="s">
        <v>205</v>
      </c>
      <c r="C37" s="234"/>
      <c r="D37" s="87">
        <f>D35-D36</f>
        <v>48492</v>
      </c>
      <c r="E37" s="87">
        <f>E35-E36</f>
        <v>38337</v>
      </c>
      <c r="F37" s="87">
        <f>F35-F36</f>
        <v>37705</v>
      </c>
      <c r="G37" s="87">
        <f>G35-G36</f>
        <v>0</v>
      </c>
      <c r="H37" s="49">
        <f t="shared" si="21"/>
        <v>124534</v>
      </c>
      <c r="I37" s="49">
        <f>I35-I36</f>
        <v>0</v>
      </c>
      <c r="J37" s="49">
        <f t="shared" si="18"/>
        <v>124534</v>
      </c>
      <c r="L37" s="233" t="s">
        <v>205</v>
      </c>
      <c r="M37" s="234"/>
      <c r="N37" s="87">
        <f>N35-N36</f>
        <v>25928</v>
      </c>
      <c r="O37" s="87">
        <f>O35-O36</f>
        <v>17921</v>
      </c>
      <c r="P37" s="87">
        <f>P35-P36</f>
        <v>17667</v>
      </c>
      <c r="Q37" s="87">
        <f>Q35-Q36</f>
        <v>0</v>
      </c>
      <c r="R37" s="49">
        <f t="shared" si="22"/>
        <v>61516</v>
      </c>
      <c r="S37" s="49">
        <f>S35-S36</f>
        <v>0</v>
      </c>
      <c r="T37" s="49">
        <f t="shared" si="20"/>
        <v>61516</v>
      </c>
    </row>
    <row r="38" spans="2:20" s="47" customFormat="1" ht="11.1" customHeight="1" x14ac:dyDescent="0.2">
      <c r="B38" s="235" t="s">
        <v>4</v>
      </c>
      <c r="C38" s="236"/>
      <c r="D38" s="86">
        <v>7134</v>
      </c>
      <c r="E38" s="86">
        <v>3280</v>
      </c>
      <c r="F38" s="86">
        <v>6254</v>
      </c>
      <c r="G38" s="86">
        <v>255</v>
      </c>
      <c r="H38" s="52">
        <f t="shared" si="21"/>
        <v>16923</v>
      </c>
      <c r="I38" s="52"/>
      <c r="J38" s="52">
        <f t="shared" si="18"/>
        <v>16923</v>
      </c>
      <c r="L38" s="235" t="s">
        <v>4</v>
      </c>
      <c r="M38" s="236"/>
      <c r="N38" s="86">
        <f t="shared" ref="N38:Q39" si="23">D38-D8</f>
        <v>3439</v>
      </c>
      <c r="O38" s="86">
        <f t="shared" si="23"/>
        <v>1666</v>
      </c>
      <c r="P38" s="86">
        <f t="shared" si="23"/>
        <v>2692</v>
      </c>
      <c r="Q38" s="86">
        <f t="shared" si="23"/>
        <v>83</v>
      </c>
      <c r="R38" s="52">
        <f t="shared" si="22"/>
        <v>7880</v>
      </c>
      <c r="S38" s="52">
        <f>I38-I8</f>
        <v>0</v>
      </c>
      <c r="T38" s="52">
        <f t="shared" si="20"/>
        <v>7880</v>
      </c>
    </row>
    <row r="39" spans="2:20" s="47" customFormat="1" ht="11.1" customHeight="1" x14ac:dyDescent="0.2">
      <c r="B39" s="235" t="s">
        <v>5</v>
      </c>
      <c r="C39" s="236"/>
      <c r="D39" s="86">
        <v>27631</v>
      </c>
      <c r="E39" s="86">
        <v>13986</v>
      </c>
      <c r="F39" s="86">
        <v>19698</v>
      </c>
      <c r="G39" s="86">
        <v>1912</v>
      </c>
      <c r="H39" s="52">
        <f t="shared" si="21"/>
        <v>63227</v>
      </c>
      <c r="I39" s="52"/>
      <c r="J39" s="52">
        <f t="shared" si="18"/>
        <v>63227</v>
      </c>
      <c r="L39" s="235" t="s">
        <v>5</v>
      </c>
      <c r="M39" s="236"/>
      <c r="N39" s="86">
        <f t="shared" si="23"/>
        <v>13895</v>
      </c>
      <c r="O39" s="86">
        <f t="shared" si="23"/>
        <v>6470</v>
      </c>
      <c r="P39" s="86">
        <f t="shared" si="23"/>
        <v>9603</v>
      </c>
      <c r="Q39" s="86">
        <f t="shared" si="23"/>
        <v>858</v>
      </c>
      <c r="R39" s="52">
        <f t="shared" si="22"/>
        <v>30826</v>
      </c>
      <c r="S39" s="52">
        <f>I39-I9</f>
        <v>0</v>
      </c>
      <c r="T39" s="52">
        <f t="shared" si="20"/>
        <v>30826</v>
      </c>
    </row>
    <row r="40" spans="2:20" s="47" customFormat="1" ht="11.1" customHeight="1" x14ac:dyDescent="0.2">
      <c r="B40" s="233" t="s">
        <v>206</v>
      </c>
      <c r="C40" s="234"/>
      <c r="D40" s="87">
        <f t="shared" ref="D40:G40" si="24">D37-D38-D39</f>
        <v>13727</v>
      </c>
      <c r="E40" s="87">
        <f t="shared" si="24"/>
        <v>21071</v>
      </c>
      <c r="F40" s="87">
        <f t="shared" si="24"/>
        <v>11753</v>
      </c>
      <c r="G40" s="87">
        <f t="shared" si="24"/>
        <v>-2167</v>
      </c>
      <c r="H40" s="49">
        <f t="shared" si="21"/>
        <v>44384</v>
      </c>
      <c r="I40" s="49">
        <f>I37-I38-I39</f>
        <v>0</v>
      </c>
      <c r="J40" s="49">
        <f t="shared" si="18"/>
        <v>44384</v>
      </c>
      <c r="L40" s="233" t="s">
        <v>206</v>
      </c>
      <c r="M40" s="234"/>
      <c r="N40" s="87">
        <f>N37-N38-N39</f>
        <v>8594</v>
      </c>
      <c r="O40" s="87">
        <f>O37-O38-O39</f>
        <v>9785</v>
      </c>
      <c r="P40" s="87">
        <f>P37-P38-P39</f>
        <v>5372</v>
      </c>
      <c r="Q40" s="87">
        <f>Q37-Q38-Q39</f>
        <v>-941</v>
      </c>
      <c r="R40" s="49">
        <f t="shared" si="22"/>
        <v>22810</v>
      </c>
      <c r="S40" s="49">
        <f>S37-S38-S39</f>
        <v>0</v>
      </c>
      <c r="T40" s="49">
        <f t="shared" si="20"/>
        <v>22810</v>
      </c>
    </row>
    <row r="41" spans="2:20" s="47" customFormat="1" ht="11.1" customHeight="1" x14ac:dyDescent="0.2">
      <c r="B41" s="235" t="s">
        <v>207</v>
      </c>
      <c r="C41" s="236"/>
      <c r="D41" s="86">
        <v>-1239</v>
      </c>
      <c r="E41" s="86">
        <v>-611</v>
      </c>
      <c r="F41" s="86">
        <v>-2524</v>
      </c>
      <c r="G41" s="86">
        <v>0</v>
      </c>
      <c r="H41" s="52">
        <f t="shared" si="21"/>
        <v>-4374</v>
      </c>
      <c r="I41" s="52">
        <v>0</v>
      </c>
      <c r="J41" s="52">
        <f t="shared" si="18"/>
        <v>-4374</v>
      </c>
      <c r="L41" s="235" t="s">
        <v>207</v>
      </c>
      <c r="M41" s="236"/>
      <c r="N41" s="86">
        <f t="shared" ref="N41:P43" si="25">D41-D11</f>
        <v>-1408</v>
      </c>
      <c r="O41" s="86">
        <f t="shared" si="25"/>
        <v>-478</v>
      </c>
      <c r="P41" s="86">
        <f t="shared" si="25"/>
        <v>-1304</v>
      </c>
      <c r="Q41" s="86">
        <v>0</v>
      </c>
      <c r="R41" s="52">
        <f t="shared" si="22"/>
        <v>-3190</v>
      </c>
      <c r="S41" s="52">
        <f>I41-I11</f>
        <v>0</v>
      </c>
      <c r="T41" s="52">
        <f t="shared" si="20"/>
        <v>-3190</v>
      </c>
    </row>
    <row r="42" spans="2:20" s="47" customFormat="1" ht="11.1" customHeight="1" x14ac:dyDescent="0.2">
      <c r="B42" s="237" t="s">
        <v>208</v>
      </c>
      <c r="C42" s="250"/>
      <c r="D42" s="86">
        <v>0</v>
      </c>
      <c r="E42" s="86">
        <v>0</v>
      </c>
      <c r="F42" s="86">
        <v>400</v>
      </c>
      <c r="G42" s="86">
        <v>0</v>
      </c>
      <c r="H42" s="52">
        <f t="shared" si="21"/>
        <v>400</v>
      </c>
      <c r="I42" s="52"/>
      <c r="J42" s="52">
        <f t="shared" si="18"/>
        <v>400</v>
      </c>
      <c r="L42" s="237" t="s">
        <v>208</v>
      </c>
      <c r="M42" s="250"/>
      <c r="N42" s="86">
        <f t="shared" si="25"/>
        <v>0</v>
      </c>
      <c r="O42" s="86">
        <f t="shared" si="25"/>
        <v>0</v>
      </c>
      <c r="P42" s="86">
        <f t="shared" si="25"/>
        <v>406</v>
      </c>
      <c r="Q42" s="86">
        <v>0</v>
      </c>
      <c r="R42" s="52">
        <f t="shared" si="22"/>
        <v>406</v>
      </c>
      <c r="S42" s="52">
        <f>I42-I12</f>
        <v>0</v>
      </c>
      <c r="T42" s="52">
        <f t="shared" si="20"/>
        <v>406</v>
      </c>
    </row>
    <row r="43" spans="2:20" s="47" customFormat="1" ht="11.1" customHeight="1" x14ac:dyDescent="0.2">
      <c r="B43" s="237" t="s">
        <v>27</v>
      </c>
      <c r="C43" s="250"/>
      <c r="D43" s="86"/>
      <c r="E43" s="86"/>
      <c r="F43" s="86"/>
      <c r="G43" s="86"/>
      <c r="H43" s="52">
        <f t="shared" si="21"/>
        <v>0</v>
      </c>
      <c r="I43" s="52">
        <v>0</v>
      </c>
      <c r="J43" s="52">
        <f t="shared" si="18"/>
        <v>0</v>
      </c>
      <c r="L43" s="237" t="s">
        <v>27</v>
      </c>
      <c r="M43" s="250"/>
      <c r="N43" s="86">
        <f t="shared" si="25"/>
        <v>0</v>
      </c>
      <c r="O43" s="86">
        <f t="shared" si="25"/>
        <v>0</v>
      </c>
      <c r="P43" s="86">
        <f t="shared" si="25"/>
        <v>0</v>
      </c>
      <c r="Q43" s="86">
        <v>0</v>
      </c>
      <c r="R43" s="52">
        <f t="shared" si="22"/>
        <v>0</v>
      </c>
      <c r="S43" s="52">
        <f>I43-I13</f>
        <v>0</v>
      </c>
      <c r="T43" s="52">
        <f t="shared" si="20"/>
        <v>0</v>
      </c>
    </row>
    <row r="44" spans="2:20" s="47" customFormat="1" ht="11.1" customHeight="1" x14ac:dyDescent="0.2">
      <c r="B44" s="233" t="s">
        <v>209</v>
      </c>
      <c r="C44" s="234"/>
      <c r="D44" s="87">
        <f t="shared" ref="D44:G44" si="26">D40+D41+D43+D42</f>
        <v>12488</v>
      </c>
      <c r="E44" s="87">
        <f t="shared" si="26"/>
        <v>20460</v>
      </c>
      <c r="F44" s="87">
        <f t="shared" si="26"/>
        <v>9629</v>
      </c>
      <c r="G44" s="87">
        <f t="shared" si="26"/>
        <v>-2167</v>
      </c>
      <c r="H44" s="49">
        <f t="shared" si="21"/>
        <v>40410</v>
      </c>
      <c r="I44" s="49">
        <f>I40+I41+I43</f>
        <v>0</v>
      </c>
      <c r="J44" s="49">
        <f t="shared" si="18"/>
        <v>40410</v>
      </c>
      <c r="L44" s="233" t="s">
        <v>209</v>
      </c>
      <c r="M44" s="234"/>
      <c r="N44" s="87">
        <f t="shared" ref="N44:Q44" si="27">N40+N41+N42+N43</f>
        <v>7186</v>
      </c>
      <c r="O44" s="87">
        <f t="shared" si="27"/>
        <v>9307</v>
      </c>
      <c r="P44" s="87">
        <f t="shared" si="27"/>
        <v>4474</v>
      </c>
      <c r="Q44" s="87">
        <f t="shared" si="27"/>
        <v>-941</v>
      </c>
      <c r="R44" s="49">
        <f t="shared" si="22"/>
        <v>20026</v>
      </c>
      <c r="S44" s="49">
        <f>S40+S41+S43</f>
        <v>0</v>
      </c>
      <c r="T44" s="49">
        <f t="shared" si="20"/>
        <v>20026</v>
      </c>
    </row>
    <row r="45" spans="2:20" s="47" customFormat="1" ht="11.1" customHeight="1" x14ac:dyDescent="0.2">
      <c r="B45" s="77" t="s">
        <v>22</v>
      </c>
      <c r="C45" s="78"/>
      <c r="D45" s="87">
        <v>13371</v>
      </c>
      <c r="E45" s="87">
        <v>7668</v>
      </c>
      <c r="F45" s="87">
        <v>4731</v>
      </c>
      <c r="G45" s="87">
        <v>0</v>
      </c>
      <c r="H45" s="49">
        <f t="shared" si="21"/>
        <v>25770</v>
      </c>
      <c r="I45" s="49">
        <v>0</v>
      </c>
      <c r="J45" s="49">
        <f t="shared" si="18"/>
        <v>25770</v>
      </c>
      <c r="L45" s="77" t="s">
        <v>22</v>
      </c>
      <c r="M45" s="78"/>
      <c r="N45" s="87">
        <f>D45-D15</f>
        <v>6902</v>
      </c>
      <c r="O45" s="87">
        <f>E45-E15</f>
        <v>3917</v>
      </c>
      <c r="P45" s="87">
        <f>F45-F15</f>
        <v>2162</v>
      </c>
      <c r="Q45" s="87">
        <f>G45-G15</f>
        <v>0</v>
      </c>
      <c r="R45" s="49">
        <f t="shared" si="22"/>
        <v>12981</v>
      </c>
      <c r="S45" s="49">
        <f>I45-I15</f>
        <v>0</v>
      </c>
      <c r="T45" s="49">
        <f t="shared" si="20"/>
        <v>12981</v>
      </c>
    </row>
    <row r="46" spans="2:20" s="47" customFormat="1" ht="11.1" customHeight="1" x14ac:dyDescent="0.2">
      <c r="B46" s="233" t="s">
        <v>23</v>
      </c>
      <c r="C46" s="234"/>
      <c r="D46" s="87">
        <f t="shared" ref="D46:G46" si="28">D44+D45</f>
        <v>25859</v>
      </c>
      <c r="E46" s="87">
        <f t="shared" si="28"/>
        <v>28128</v>
      </c>
      <c r="F46" s="87">
        <f t="shared" si="28"/>
        <v>14360</v>
      </c>
      <c r="G46" s="87">
        <f t="shared" si="28"/>
        <v>-2167</v>
      </c>
      <c r="H46" s="49">
        <f t="shared" si="21"/>
        <v>66180</v>
      </c>
      <c r="I46" s="49">
        <f>I44+I45</f>
        <v>0</v>
      </c>
      <c r="J46" s="49">
        <f t="shared" si="18"/>
        <v>66180</v>
      </c>
      <c r="L46" s="233" t="s">
        <v>23</v>
      </c>
      <c r="M46" s="234"/>
      <c r="N46" s="87">
        <f>N44+N45</f>
        <v>14088</v>
      </c>
      <c r="O46" s="87">
        <f t="shared" ref="O46:Q46" si="29">O44+O45</f>
        <v>13224</v>
      </c>
      <c r="P46" s="87">
        <f t="shared" si="29"/>
        <v>6636</v>
      </c>
      <c r="Q46" s="87">
        <f t="shared" si="29"/>
        <v>-941</v>
      </c>
      <c r="R46" s="49">
        <f t="shared" si="22"/>
        <v>33007</v>
      </c>
      <c r="S46" s="49">
        <f>S44+S45</f>
        <v>0</v>
      </c>
      <c r="T46" s="49">
        <f t="shared" si="20"/>
        <v>33007</v>
      </c>
    </row>
    <row r="47" spans="2:20" s="47" customFormat="1" ht="11.1" customHeight="1" x14ac:dyDescent="0.2">
      <c r="B47" s="248" t="s">
        <v>211</v>
      </c>
      <c r="C47" s="249"/>
      <c r="D47" s="249"/>
      <c r="E47" s="249"/>
      <c r="F47" s="249"/>
      <c r="G47" s="249"/>
      <c r="H47" s="73"/>
      <c r="I47" s="73"/>
      <c r="J47" s="73"/>
      <c r="L47" s="248" t="s">
        <v>212</v>
      </c>
      <c r="M47" s="249"/>
      <c r="N47" s="249"/>
      <c r="O47" s="249"/>
      <c r="P47" s="249"/>
      <c r="Q47" s="249"/>
      <c r="R47" s="73"/>
      <c r="S47" s="73"/>
      <c r="T47" s="73"/>
    </row>
    <row r="48" spans="2:20" s="47" customFormat="1" ht="11.1" customHeight="1" x14ac:dyDescent="0.2">
      <c r="B48" s="251" t="s">
        <v>204</v>
      </c>
      <c r="C48" s="252"/>
      <c r="D48" s="86">
        <v>185111</v>
      </c>
      <c r="E48" s="86">
        <v>111219</v>
      </c>
      <c r="F48" s="86">
        <v>126931</v>
      </c>
      <c r="G48" s="86">
        <v>0</v>
      </c>
      <c r="H48" s="52">
        <f t="shared" ref="H48:H59" si="30">SUM(D48:G48)</f>
        <v>423261</v>
      </c>
      <c r="I48" s="52">
        <v>0</v>
      </c>
      <c r="J48" s="52">
        <f t="shared" ref="J48:J59" si="31">H48+I48</f>
        <v>423261</v>
      </c>
      <c r="L48" s="251" t="s">
        <v>204</v>
      </c>
      <c r="M48" s="252"/>
      <c r="N48" s="86">
        <f t="shared" ref="N48:Q49" si="32">D48-D18</f>
        <v>90028</v>
      </c>
      <c r="O48" s="86">
        <f t="shared" si="32"/>
        <v>54517</v>
      </c>
      <c r="P48" s="86">
        <f t="shared" si="32"/>
        <v>66237</v>
      </c>
      <c r="Q48" s="86">
        <f t="shared" si="32"/>
        <v>0</v>
      </c>
      <c r="R48" s="52">
        <f>SUM(N48:Q48)</f>
        <v>210782</v>
      </c>
      <c r="S48" s="52">
        <f>I48-I18</f>
        <v>-424958</v>
      </c>
      <c r="T48" s="52">
        <f t="shared" ref="T48:T59" si="33">R48+S48</f>
        <v>-214176</v>
      </c>
    </row>
    <row r="49" spans="2:20" s="47" customFormat="1" ht="11.1" customHeight="1" x14ac:dyDescent="0.2">
      <c r="B49" s="251" t="s">
        <v>33</v>
      </c>
      <c r="C49" s="252"/>
      <c r="D49" s="86">
        <f>133948+235</f>
        <v>134183</v>
      </c>
      <c r="E49" s="86">
        <v>85218</v>
      </c>
      <c r="F49" s="86">
        <v>77804</v>
      </c>
      <c r="G49" s="86">
        <v>0</v>
      </c>
      <c r="H49" s="52">
        <f t="shared" si="30"/>
        <v>297205</v>
      </c>
      <c r="I49" s="52">
        <v>0</v>
      </c>
      <c r="J49" s="52">
        <f t="shared" si="31"/>
        <v>297205</v>
      </c>
      <c r="L49" s="251" t="s">
        <v>33</v>
      </c>
      <c r="M49" s="252"/>
      <c r="N49" s="86">
        <f t="shared" si="32"/>
        <v>65066</v>
      </c>
      <c r="O49" s="86">
        <f t="shared" si="32"/>
        <v>42715</v>
      </c>
      <c r="P49" s="86">
        <f t="shared" si="32"/>
        <v>40316</v>
      </c>
      <c r="Q49" s="86">
        <f t="shared" si="32"/>
        <v>0</v>
      </c>
      <c r="R49" s="52">
        <f t="shared" ref="R49:R59" si="34">SUM(N49:Q49)</f>
        <v>148097</v>
      </c>
      <c r="S49" s="52">
        <f>I49-I19</f>
        <v>-298216</v>
      </c>
      <c r="T49" s="52">
        <f t="shared" si="33"/>
        <v>-150119</v>
      </c>
    </row>
    <row r="50" spans="2:20" s="47" customFormat="1" ht="11.1" customHeight="1" x14ac:dyDescent="0.2">
      <c r="B50" s="233" t="s">
        <v>205</v>
      </c>
      <c r="C50" s="234"/>
      <c r="D50" s="87">
        <f t="shared" ref="D50:G50" si="35">D48-D49</f>
        <v>50928</v>
      </c>
      <c r="E50" s="87">
        <f t="shared" si="35"/>
        <v>26001</v>
      </c>
      <c r="F50" s="87">
        <f t="shared" si="35"/>
        <v>49127</v>
      </c>
      <c r="G50" s="87">
        <f t="shared" si="35"/>
        <v>0</v>
      </c>
      <c r="H50" s="49">
        <f t="shared" si="30"/>
        <v>126056</v>
      </c>
      <c r="I50" s="49">
        <f>I48-I49</f>
        <v>0</v>
      </c>
      <c r="J50" s="49">
        <f t="shared" si="31"/>
        <v>126056</v>
      </c>
      <c r="L50" s="233" t="s">
        <v>205</v>
      </c>
      <c r="M50" s="234"/>
      <c r="N50" s="87">
        <f>N48-N49</f>
        <v>24962</v>
      </c>
      <c r="O50" s="87">
        <f>O48-O49</f>
        <v>11802</v>
      </c>
      <c r="P50" s="87">
        <f>P48-P49</f>
        <v>25921</v>
      </c>
      <c r="Q50" s="87">
        <f>Q48-Q49</f>
        <v>0</v>
      </c>
      <c r="R50" s="49">
        <f t="shared" si="34"/>
        <v>62685</v>
      </c>
      <c r="S50" s="49">
        <f>S48-S49</f>
        <v>-126742</v>
      </c>
      <c r="T50" s="49">
        <f t="shared" si="33"/>
        <v>-64057</v>
      </c>
    </row>
    <row r="51" spans="2:20" s="47" customFormat="1" ht="11.1" customHeight="1" x14ac:dyDescent="0.2">
      <c r="B51" s="235" t="s">
        <v>4</v>
      </c>
      <c r="C51" s="236"/>
      <c r="D51" s="86">
        <v>8298.7894439545507</v>
      </c>
      <c r="E51" s="86">
        <v>2836.77038396545</v>
      </c>
      <c r="F51" s="86">
        <v>8032.6426200000024</v>
      </c>
      <c r="G51" s="86">
        <v>191.33</v>
      </c>
      <c r="H51" s="52">
        <f t="shared" si="30"/>
        <v>19359.532447920006</v>
      </c>
      <c r="I51" s="52">
        <v>0</v>
      </c>
      <c r="J51" s="52">
        <f t="shared" si="31"/>
        <v>19359.532447920006</v>
      </c>
      <c r="L51" s="235" t="s">
        <v>4</v>
      </c>
      <c r="M51" s="236"/>
      <c r="N51" s="86">
        <f t="shared" ref="N51:Q52" si="36">D51-D21</f>
        <v>4760.7894439545507</v>
      </c>
      <c r="O51" s="86">
        <f t="shared" si="36"/>
        <v>1571.77038396545</v>
      </c>
      <c r="P51" s="86">
        <f t="shared" si="36"/>
        <v>4108.6426200000024</v>
      </c>
      <c r="Q51" s="86">
        <f t="shared" si="36"/>
        <v>111.02000000000001</v>
      </c>
      <c r="R51" s="52">
        <f t="shared" si="34"/>
        <v>10552.222447920003</v>
      </c>
      <c r="S51" s="52">
        <f>I51-I21</f>
        <v>-17614.62</v>
      </c>
      <c r="T51" s="52">
        <f t="shared" si="33"/>
        <v>-7062.3975520799959</v>
      </c>
    </row>
    <row r="52" spans="2:20" s="47" customFormat="1" ht="11.1" customHeight="1" x14ac:dyDescent="0.2">
      <c r="B52" s="235" t="s">
        <v>5</v>
      </c>
      <c r="C52" s="236"/>
      <c r="D52" s="86">
        <v>29781</v>
      </c>
      <c r="E52" s="86">
        <v>12277</v>
      </c>
      <c r="F52" s="86">
        <v>20253.023835103842</v>
      </c>
      <c r="G52" s="86">
        <v>1543.15</v>
      </c>
      <c r="H52" s="52">
        <f t="shared" si="30"/>
        <v>63854.173835103844</v>
      </c>
      <c r="I52" s="52">
        <v>0</v>
      </c>
      <c r="J52" s="52">
        <f t="shared" si="31"/>
        <v>63854.173835103844</v>
      </c>
      <c r="L52" s="235" t="s">
        <v>5</v>
      </c>
      <c r="M52" s="236"/>
      <c r="N52" s="86">
        <f t="shared" si="36"/>
        <v>14777</v>
      </c>
      <c r="O52" s="86">
        <f t="shared" si="36"/>
        <v>5810</v>
      </c>
      <c r="P52" s="86">
        <f t="shared" si="36"/>
        <v>10081.023835103842</v>
      </c>
      <c r="Q52" s="86">
        <f t="shared" si="36"/>
        <v>963.15000000000009</v>
      </c>
      <c r="R52" s="52">
        <f t="shared" si="34"/>
        <v>31631.173835103844</v>
      </c>
      <c r="S52" s="52">
        <f>I52-I22</f>
        <v>-64446</v>
      </c>
      <c r="T52" s="52">
        <f t="shared" si="33"/>
        <v>-32814.826164896156</v>
      </c>
    </row>
    <row r="53" spans="2:20" s="47" customFormat="1" ht="11.1" customHeight="1" x14ac:dyDescent="0.2">
      <c r="B53" s="233" t="s">
        <v>206</v>
      </c>
      <c r="C53" s="234"/>
      <c r="D53" s="87">
        <f t="shared" ref="D53:G53" si="37">D50-D51-D52</f>
        <v>12848.210556045451</v>
      </c>
      <c r="E53" s="87">
        <f t="shared" si="37"/>
        <v>10887.22961603455</v>
      </c>
      <c r="F53" s="87">
        <f t="shared" si="37"/>
        <v>20841.333544896159</v>
      </c>
      <c r="G53" s="87">
        <f t="shared" si="37"/>
        <v>-1734.48</v>
      </c>
      <c r="H53" s="49">
        <f t="shared" si="30"/>
        <v>42842.293716976157</v>
      </c>
      <c r="I53" s="49">
        <f>I50-I51-I52</f>
        <v>0</v>
      </c>
      <c r="J53" s="49">
        <f t="shared" si="31"/>
        <v>42842.293716976157</v>
      </c>
      <c r="L53" s="233" t="s">
        <v>206</v>
      </c>
      <c r="M53" s="234"/>
      <c r="N53" s="87">
        <f>N50-N51-N52</f>
        <v>5424.2105560454511</v>
      </c>
      <c r="O53" s="87">
        <f>O50-O51-O52</f>
        <v>4420.2296160345504</v>
      </c>
      <c r="P53" s="87">
        <f>P50-P51-P52</f>
        <v>11731.333544896155</v>
      </c>
      <c r="Q53" s="87">
        <f>Q50-Q51-Q52</f>
        <v>-1074.17</v>
      </c>
      <c r="R53" s="49">
        <f t="shared" si="34"/>
        <v>20501.603716976155</v>
      </c>
      <c r="S53" s="49">
        <f>S50-S51-S52</f>
        <v>-44681.380000000005</v>
      </c>
      <c r="T53" s="49">
        <f t="shared" si="33"/>
        <v>-24179.77628302385</v>
      </c>
    </row>
    <row r="54" spans="2:20" s="47" customFormat="1" ht="11.1" customHeight="1" x14ac:dyDescent="0.2">
      <c r="B54" s="235" t="s">
        <v>207</v>
      </c>
      <c r="C54" s="236"/>
      <c r="D54" s="86">
        <f>-659+235</f>
        <v>-424</v>
      </c>
      <c r="E54" s="86">
        <v>-36</v>
      </c>
      <c r="F54" s="86">
        <v>-1387</v>
      </c>
      <c r="G54" s="86">
        <v>0</v>
      </c>
      <c r="H54" s="52">
        <f t="shared" si="30"/>
        <v>-1847</v>
      </c>
      <c r="I54" s="52">
        <v>0</v>
      </c>
      <c r="J54" s="52">
        <f t="shared" si="31"/>
        <v>-1847</v>
      </c>
      <c r="L54" s="235" t="s">
        <v>207</v>
      </c>
      <c r="M54" s="236"/>
      <c r="N54" s="86">
        <f t="shared" ref="N54:Q56" si="38">D54-D24</f>
        <v>-172</v>
      </c>
      <c r="O54" s="86">
        <f t="shared" si="38"/>
        <v>40</v>
      </c>
      <c r="P54" s="86">
        <f t="shared" si="38"/>
        <v>-758</v>
      </c>
      <c r="Q54" s="86">
        <f t="shared" si="38"/>
        <v>0</v>
      </c>
      <c r="R54" s="52">
        <f t="shared" si="34"/>
        <v>-890</v>
      </c>
      <c r="S54" s="52">
        <f>I54-I24</f>
        <v>1914</v>
      </c>
      <c r="T54" s="52">
        <f t="shared" si="33"/>
        <v>1024</v>
      </c>
    </row>
    <row r="55" spans="2:20" s="47" customFormat="1" ht="11.1" customHeight="1" x14ac:dyDescent="0.2">
      <c r="B55" s="237" t="s">
        <v>208</v>
      </c>
      <c r="C55" s="250"/>
      <c r="D55" s="86">
        <v>0</v>
      </c>
      <c r="E55" s="86">
        <v>0</v>
      </c>
      <c r="F55" s="86">
        <v>563</v>
      </c>
      <c r="G55" s="86">
        <v>0</v>
      </c>
      <c r="H55" s="52">
        <f t="shared" si="30"/>
        <v>563</v>
      </c>
      <c r="I55" s="52">
        <v>0</v>
      </c>
      <c r="J55" s="52">
        <f t="shared" si="31"/>
        <v>563</v>
      </c>
      <c r="L55" s="237" t="s">
        <v>208</v>
      </c>
      <c r="M55" s="250"/>
      <c r="N55" s="86">
        <f t="shared" si="38"/>
        <v>0</v>
      </c>
      <c r="O55" s="86">
        <f t="shared" si="38"/>
        <v>0</v>
      </c>
      <c r="P55" s="86">
        <f t="shared" si="38"/>
        <v>328</v>
      </c>
      <c r="Q55" s="86">
        <f t="shared" si="38"/>
        <v>0</v>
      </c>
      <c r="R55" s="52">
        <f t="shared" si="34"/>
        <v>328</v>
      </c>
      <c r="S55" s="52">
        <f>I55-I25</f>
        <v>-470</v>
      </c>
      <c r="T55" s="52">
        <f t="shared" si="33"/>
        <v>-142</v>
      </c>
    </row>
    <row r="56" spans="2:20" s="47" customFormat="1" ht="11.1" customHeight="1" x14ac:dyDescent="0.2">
      <c r="B56" s="237" t="s">
        <v>27</v>
      </c>
      <c r="C56" s="250"/>
      <c r="D56" s="86"/>
      <c r="E56" s="86"/>
      <c r="F56" s="86"/>
      <c r="G56" s="86"/>
      <c r="H56" s="52">
        <f t="shared" si="30"/>
        <v>0</v>
      </c>
      <c r="I56" s="52">
        <v>0</v>
      </c>
      <c r="J56" s="52">
        <f t="shared" si="31"/>
        <v>0</v>
      </c>
      <c r="L56" s="237" t="s">
        <v>27</v>
      </c>
      <c r="M56" s="250"/>
      <c r="N56" s="86">
        <f t="shared" si="38"/>
        <v>0</v>
      </c>
      <c r="O56" s="86">
        <f t="shared" si="38"/>
        <v>0</v>
      </c>
      <c r="P56" s="86">
        <f t="shared" si="38"/>
        <v>0</v>
      </c>
      <c r="Q56" s="86">
        <f t="shared" si="38"/>
        <v>0</v>
      </c>
      <c r="R56" s="52">
        <f t="shared" si="34"/>
        <v>0</v>
      </c>
      <c r="S56" s="52">
        <f>I56-I26</f>
        <v>0</v>
      </c>
      <c r="T56" s="52">
        <f t="shared" si="33"/>
        <v>0</v>
      </c>
    </row>
    <row r="57" spans="2:20" s="47" customFormat="1" ht="11.1" customHeight="1" x14ac:dyDescent="0.2">
      <c r="B57" s="233" t="s">
        <v>209</v>
      </c>
      <c r="C57" s="234"/>
      <c r="D57" s="87">
        <f>D53+D54+D56+D55</f>
        <v>12424.210556045451</v>
      </c>
      <c r="E57" s="87">
        <f>E53+E54+E56+E55</f>
        <v>10851.22961603455</v>
      </c>
      <c r="F57" s="87">
        <f>F53+F54+F56+F55</f>
        <v>20017.333544896159</v>
      </c>
      <c r="G57" s="87">
        <f>G53+G54+G56+G55</f>
        <v>-1734.48</v>
      </c>
      <c r="H57" s="49">
        <f t="shared" si="30"/>
        <v>41558.293716976157</v>
      </c>
      <c r="I57" s="49">
        <f>I53+I54+I56</f>
        <v>0</v>
      </c>
      <c r="J57" s="49">
        <f t="shared" si="31"/>
        <v>41558.293716976157</v>
      </c>
      <c r="L57" s="233" t="s">
        <v>209</v>
      </c>
      <c r="M57" s="234"/>
      <c r="N57" s="87">
        <f t="shared" ref="N57:Q57" si="39">N53+N54+N55+N56</f>
        <v>5252.2105560454511</v>
      </c>
      <c r="O57" s="87">
        <f t="shared" si="39"/>
        <v>4460.2296160345504</v>
      </c>
      <c r="P57" s="87">
        <f t="shared" si="39"/>
        <v>11301.333544896155</v>
      </c>
      <c r="Q57" s="87">
        <f t="shared" si="39"/>
        <v>-1074.17</v>
      </c>
      <c r="R57" s="49">
        <f t="shared" si="34"/>
        <v>19939.603716976155</v>
      </c>
      <c r="S57" s="49">
        <f>S53+S54+S56</f>
        <v>-42767.380000000005</v>
      </c>
      <c r="T57" s="49">
        <f t="shared" si="33"/>
        <v>-22827.77628302385</v>
      </c>
    </row>
    <row r="58" spans="2:20" s="47" customFormat="1" ht="11.1" customHeight="1" x14ac:dyDescent="0.2">
      <c r="B58" s="77" t="s">
        <v>22</v>
      </c>
      <c r="C58" s="78"/>
      <c r="D58" s="87">
        <v>12267</v>
      </c>
      <c r="E58" s="87">
        <v>7891</v>
      </c>
      <c r="F58" s="87">
        <v>4513</v>
      </c>
      <c r="G58" s="87">
        <v>0</v>
      </c>
      <c r="H58" s="49">
        <f t="shared" si="30"/>
        <v>24671</v>
      </c>
      <c r="I58" s="49">
        <v>0</v>
      </c>
      <c r="J58" s="49">
        <f t="shared" si="31"/>
        <v>24671</v>
      </c>
      <c r="L58" s="77" t="s">
        <v>22</v>
      </c>
      <c r="M58" s="78"/>
      <c r="N58" s="87">
        <f>D58-D28</f>
        <v>6303</v>
      </c>
      <c r="O58" s="87">
        <f>E58-E28</f>
        <v>4522</v>
      </c>
      <c r="P58" s="87">
        <f>F58-F28</f>
        <v>2150</v>
      </c>
      <c r="Q58" s="87">
        <f>G58-G28</f>
        <v>0</v>
      </c>
      <c r="R58" s="49">
        <f t="shared" si="34"/>
        <v>12975</v>
      </c>
      <c r="S58" s="49">
        <f>I58-I28</f>
        <v>-23392</v>
      </c>
      <c r="T58" s="49">
        <f t="shared" si="33"/>
        <v>-10417</v>
      </c>
    </row>
    <row r="59" spans="2:20" s="47" customFormat="1" ht="11.1" customHeight="1" x14ac:dyDescent="0.2">
      <c r="B59" s="233" t="s">
        <v>23</v>
      </c>
      <c r="C59" s="234"/>
      <c r="D59" s="87">
        <f t="shared" ref="D59:G59" si="40">D57+D58</f>
        <v>24691.210556045451</v>
      </c>
      <c r="E59" s="87">
        <f t="shared" si="40"/>
        <v>18742.22961603455</v>
      </c>
      <c r="F59" s="87">
        <f t="shared" si="40"/>
        <v>24530.333544896159</v>
      </c>
      <c r="G59" s="87">
        <f t="shared" si="40"/>
        <v>-1734.48</v>
      </c>
      <c r="H59" s="49">
        <f t="shared" si="30"/>
        <v>66229.293716976172</v>
      </c>
      <c r="I59" s="49">
        <f t="shared" ref="I59" si="41">I57+I58</f>
        <v>0</v>
      </c>
      <c r="J59" s="49">
        <f t="shared" si="31"/>
        <v>66229.293716976172</v>
      </c>
      <c r="L59" s="233" t="s">
        <v>23</v>
      </c>
      <c r="M59" s="234"/>
      <c r="N59" s="87">
        <f>N57+N58</f>
        <v>11555.210556045451</v>
      </c>
      <c r="O59" s="87">
        <f t="shared" ref="O59:Q59" si="42">O57+O58</f>
        <v>8982.2296160345504</v>
      </c>
      <c r="P59" s="87">
        <f t="shared" si="42"/>
        <v>13451.333544896155</v>
      </c>
      <c r="Q59" s="87">
        <f t="shared" si="42"/>
        <v>-1074.17</v>
      </c>
      <c r="R59" s="49">
        <f t="shared" si="34"/>
        <v>32914.603716976155</v>
      </c>
      <c r="S59" s="49">
        <f>S57+S58</f>
        <v>-66159.38</v>
      </c>
      <c r="T59" s="49">
        <f t="shared" si="33"/>
        <v>-33244.77628302385</v>
      </c>
    </row>
    <row r="60" spans="2:20" s="47" customFormat="1" ht="11.1" customHeight="1" x14ac:dyDescent="0.2">
      <c r="C60" s="54"/>
      <c r="M60" s="54"/>
    </row>
    <row r="61" spans="2:20" ht="11.1" customHeight="1" x14ac:dyDescent="0.2">
      <c r="B61" s="48"/>
      <c r="C61" s="72"/>
      <c r="D61" s="48"/>
      <c r="E61" s="48"/>
      <c r="F61" s="48"/>
      <c r="G61" s="48"/>
      <c r="H61" s="48"/>
      <c r="I61" s="48"/>
      <c r="J61" s="88"/>
      <c r="L61" s="48"/>
      <c r="M61" s="72"/>
      <c r="N61" s="48"/>
      <c r="O61" s="48"/>
      <c r="P61" s="48"/>
      <c r="Q61" s="48"/>
      <c r="R61" s="48"/>
      <c r="S61" s="48"/>
      <c r="T61" s="88"/>
    </row>
    <row r="62" spans="2:20" ht="11.1" customHeight="1" x14ac:dyDescent="0.2">
      <c r="B62" s="244" t="s">
        <v>59</v>
      </c>
      <c r="C62" s="253"/>
      <c r="D62" s="241" t="s">
        <v>196</v>
      </c>
      <c r="E62" s="241" t="s">
        <v>197</v>
      </c>
      <c r="F62" s="241" t="s">
        <v>198</v>
      </c>
      <c r="G62" s="241" t="s">
        <v>199</v>
      </c>
      <c r="H62" s="241" t="s">
        <v>200</v>
      </c>
      <c r="I62" s="241" t="s">
        <v>201</v>
      </c>
      <c r="J62" s="241" t="s">
        <v>202</v>
      </c>
      <c r="L62" s="244" t="s">
        <v>59</v>
      </c>
      <c r="M62" s="253"/>
      <c r="N62" s="241" t="s">
        <v>196</v>
      </c>
      <c r="O62" s="241" t="s">
        <v>197</v>
      </c>
      <c r="P62" s="241" t="s">
        <v>198</v>
      </c>
      <c r="Q62" s="241" t="s">
        <v>199</v>
      </c>
      <c r="R62" s="241" t="s">
        <v>200</v>
      </c>
      <c r="S62" s="241" t="s">
        <v>201</v>
      </c>
      <c r="T62" s="241" t="s">
        <v>202</v>
      </c>
    </row>
    <row r="63" spans="2:20" ht="11.1" customHeight="1" x14ac:dyDescent="0.2">
      <c r="B63" s="254"/>
      <c r="C63" s="255"/>
      <c r="D63" s="242"/>
      <c r="E63" s="242"/>
      <c r="F63" s="242"/>
      <c r="G63" s="242"/>
      <c r="H63" s="242"/>
      <c r="I63" s="242"/>
      <c r="J63" s="242"/>
      <c r="L63" s="254"/>
      <c r="M63" s="255"/>
      <c r="N63" s="242"/>
      <c r="O63" s="242"/>
      <c r="P63" s="242"/>
      <c r="Q63" s="242"/>
      <c r="R63" s="242"/>
      <c r="S63" s="242"/>
      <c r="T63" s="242"/>
    </row>
    <row r="64" spans="2:20" ht="11.1" customHeight="1" x14ac:dyDescent="0.2">
      <c r="B64" s="248" t="s">
        <v>226</v>
      </c>
      <c r="C64" s="249"/>
      <c r="D64" s="249"/>
      <c r="E64" s="249"/>
      <c r="F64" s="249"/>
      <c r="G64" s="249"/>
      <c r="H64" s="73"/>
      <c r="I64" s="73"/>
      <c r="J64" s="82"/>
      <c r="L64" s="248" t="s">
        <v>227</v>
      </c>
      <c r="M64" s="249"/>
      <c r="N64" s="249"/>
      <c r="O64" s="249"/>
      <c r="P64" s="249"/>
      <c r="Q64" s="249"/>
      <c r="R64" s="73"/>
      <c r="S64" s="73"/>
      <c r="T64" s="82"/>
    </row>
    <row r="65" spans="2:20" ht="11.1" customHeight="1" x14ac:dyDescent="0.2">
      <c r="B65" s="251" t="s">
        <v>204</v>
      </c>
      <c r="C65" s="252"/>
      <c r="D65" s="89">
        <v>335926</v>
      </c>
      <c r="E65" s="89">
        <v>198390</v>
      </c>
      <c r="F65" s="89">
        <v>171754</v>
      </c>
      <c r="G65" s="89"/>
      <c r="H65" s="89">
        <f t="shared" ref="H65:H76" si="43">SUM(D65:G65)</f>
        <v>706070</v>
      </c>
      <c r="I65" s="89"/>
      <c r="J65" s="89">
        <f>H65+I65</f>
        <v>706070</v>
      </c>
      <c r="L65" s="251" t="s">
        <v>204</v>
      </c>
      <c r="M65" s="252"/>
      <c r="N65" s="52">
        <f t="shared" ref="N65:Q66" si="44">D65-D35</f>
        <v>132344</v>
      </c>
      <c r="O65" s="52">
        <f t="shared" si="44"/>
        <v>50857</v>
      </c>
      <c r="P65" s="52">
        <f t="shared" si="44"/>
        <v>60925</v>
      </c>
      <c r="Q65" s="52">
        <f t="shared" si="44"/>
        <v>0</v>
      </c>
      <c r="R65" s="52">
        <f>SUM(N65:Q65)</f>
        <v>244126</v>
      </c>
      <c r="S65" s="52">
        <f>H65-I35</f>
        <v>706070</v>
      </c>
      <c r="T65" s="52">
        <f t="shared" ref="T65:T76" si="45">R65+S65</f>
        <v>950196</v>
      </c>
    </row>
    <row r="66" spans="2:20" ht="11.1" customHeight="1" x14ac:dyDescent="0.2">
      <c r="B66" s="251" t="s">
        <v>33</v>
      </c>
      <c r="C66" s="252"/>
      <c r="D66" s="89">
        <v>257293</v>
      </c>
      <c r="E66" s="89">
        <v>149767</v>
      </c>
      <c r="F66" s="89">
        <v>115185</v>
      </c>
      <c r="G66" s="89"/>
      <c r="H66" s="89">
        <f t="shared" si="43"/>
        <v>522245</v>
      </c>
      <c r="I66" s="89"/>
      <c r="J66" s="89">
        <f t="shared" ref="J66:J76" si="46">H66+I66</f>
        <v>522245</v>
      </c>
      <c r="L66" s="251" t="s">
        <v>33</v>
      </c>
      <c r="M66" s="252"/>
      <c r="N66" s="52">
        <f t="shared" si="44"/>
        <v>102203</v>
      </c>
      <c r="O66" s="52">
        <f t="shared" si="44"/>
        <v>40571</v>
      </c>
      <c r="P66" s="52">
        <f t="shared" si="44"/>
        <v>42061</v>
      </c>
      <c r="Q66" s="52">
        <f t="shared" si="44"/>
        <v>0</v>
      </c>
      <c r="R66" s="52">
        <f t="shared" ref="R66:R76" si="47">SUM(N66:Q66)</f>
        <v>184835</v>
      </c>
      <c r="S66" s="52">
        <f>H66-I36</f>
        <v>522245</v>
      </c>
      <c r="T66" s="52">
        <f t="shared" si="45"/>
        <v>707080</v>
      </c>
    </row>
    <row r="67" spans="2:20" ht="11.1" customHeight="1" x14ac:dyDescent="0.2">
      <c r="B67" s="233" t="s">
        <v>205</v>
      </c>
      <c r="C67" s="234"/>
      <c r="D67" s="90">
        <f>D65-D66</f>
        <v>78633</v>
      </c>
      <c r="E67" s="90">
        <f>E65-E66</f>
        <v>48623</v>
      </c>
      <c r="F67" s="90">
        <f>F65-F66</f>
        <v>56569</v>
      </c>
      <c r="G67" s="90">
        <f>G65-G66</f>
        <v>0</v>
      </c>
      <c r="H67" s="90">
        <f t="shared" si="43"/>
        <v>183825</v>
      </c>
      <c r="I67" s="90">
        <f>I65-I66</f>
        <v>0</v>
      </c>
      <c r="J67" s="90">
        <f t="shared" si="46"/>
        <v>183825</v>
      </c>
      <c r="L67" s="233" t="s">
        <v>205</v>
      </c>
      <c r="M67" s="234"/>
      <c r="N67" s="49">
        <f>N65-N66</f>
        <v>30141</v>
      </c>
      <c r="O67" s="49">
        <f>O65-O66</f>
        <v>10286</v>
      </c>
      <c r="P67" s="49">
        <f>P65-P66</f>
        <v>18864</v>
      </c>
      <c r="Q67" s="49">
        <f>Q65-Q66</f>
        <v>0</v>
      </c>
      <c r="R67" s="49">
        <f t="shared" si="47"/>
        <v>59291</v>
      </c>
      <c r="S67" s="49">
        <f>S65-S66</f>
        <v>183825</v>
      </c>
      <c r="T67" s="49">
        <f t="shared" si="45"/>
        <v>243116</v>
      </c>
    </row>
    <row r="68" spans="2:20" ht="11.1" customHeight="1" x14ac:dyDescent="0.2">
      <c r="B68" s="235" t="s">
        <v>4</v>
      </c>
      <c r="C68" s="236"/>
      <c r="D68" s="89">
        <v>10333</v>
      </c>
      <c r="E68" s="89">
        <v>4386</v>
      </c>
      <c r="F68" s="89">
        <v>9211</v>
      </c>
      <c r="G68" s="89">
        <v>367</v>
      </c>
      <c r="H68" s="89">
        <f t="shared" si="43"/>
        <v>24297</v>
      </c>
      <c r="I68" s="89"/>
      <c r="J68" s="89">
        <f t="shared" si="46"/>
        <v>24297</v>
      </c>
      <c r="L68" s="235" t="s">
        <v>4</v>
      </c>
      <c r="M68" s="236"/>
      <c r="N68" s="52">
        <f t="shared" ref="N68:Q69" si="48">D68-D38</f>
        <v>3199</v>
      </c>
      <c r="O68" s="52">
        <f t="shared" si="48"/>
        <v>1106</v>
      </c>
      <c r="P68" s="52">
        <f t="shared" si="48"/>
        <v>2957</v>
      </c>
      <c r="Q68" s="52">
        <f t="shared" si="48"/>
        <v>112</v>
      </c>
      <c r="R68" s="52">
        <f t="shared" si="47"/>
        <v>7374</v>
      </c>
      <c r="S68" s="52">
        <f>H68-I38</f>
        <v>24297</v>
      </c>
      <c r="T68" s="52">
        <f t="shared" si="45"/>
        <v>31671</v>
      </c>
    </row>
    <row r="69" spans="2:20" ht="11.1" customHeight="1" x14ac:dyDescent="0.2">
      <c r="B69" s="235" t="s">
        <v>5</v>
      </c>
      <c r="C69" s="236"/>
      <c r="D69" s="89">
        <v>40473</v>
      </c>
      <c r="E69" s="89">
        <v>20283</v>
      </c>
      <c r="F69" s="89">
        <v>30335</v>
      </c>
      <c r="G69" s="89">
        <v>2759</v>
      </c>
      <c r="H69" s="89">
        <f t="shared" si="43"/>
        <v>93850</v>
      </c>
      <c r="I69" s="89"/>
      <c r="J69" s="89">
        <f t="shared" si="46"/>
        <v>93850</v>
      </c>
      <c r="L69" s="235" t="s">
        <v>5</v>
      </c>
      <c r="M69" s="236"/>
      <c r="N69" s="52">
        <f t="shared" si="48"/>
        <v>12842</v>
      </c>
      <c r="O69" s="52">
        <f t="shared" si="48"/>
        <v>6297</v>
      </c>
      <c r="P69" s="52">
        <f t="shared" si="48"/>
        <v>10637</v>
      </c>
      <c r="Q69" s="52">
        <f t="shared" si="48"/>
        <v>847</v>
      </c>
      <c r="R69" s="52">
        <f t="shared" si="47"/>
        <v>30623</v>
      </c>
      <c r="S69" s="52">
        <f>H69-I39</f>
        <v>93850</v>
      </c>
      <c r="T69" s="52">
        <f t="shared" si="45"/>
        <v>124473</v>
      </c>
    </row>
    <row r="70" spans="2:20" ht="11.1" customHeight="1" x14ac:dyDescent="0.2">
      <c r="B70" s="233" t="s">
        <v>206</v>
      </c>
      <c r="C70" s="234"/>
      <c r="D70" s="90">
        <f>D67-D68-D69</f>
        <v>27827</v>
      </c>
      <c r="E70" s="90">
        <f>E67-E68-E69</f>
        <v>23954</v>
      </c>
      <c r="F70" s="90">
        <f>F67-F68-F69</f>
        <v>17023</v>
      </c>
      <c r="G70" s="90">
        <f>G67-G68-G69</f>
        <v>-3126</v>
      </c>
      <c r="H70" s="90">
        <f t="shared" si="43"/>
        <v>65678</v>
      </c>
      <c r="I70" s="90">
        <f>I67-I68-I69</f>
        <v>0</v>
      </c>
      <c r="J70" s="90">
        <f t="shared" si="46"/>
        <v>65678</v>
      </c>
      <c r="L70" s="233" t="s">
        <v>206</v>
      </c>
      <c r="M70" s="234"/>
      <c r="N70" s="49">
        <f>N67-N68-N69</f>
        <v>14100</v>
      </c>
      <c r="O70" s="49">
        <f>O67-O68-O69</f>
        <v>2883</v>
      </c>
      <c r="P70" s="49">
        <f>P67-P68-P69</f>
        <v>5270</v>
      </c>
      <c r="Q70" s="49">
        <f>Q67-Q68-Q69</f>
        <v>-959</v>
      </c>
      <c r="R70" s="49">
        <f t="shared" si="47"/>
        <v>21294</v>
      </c>
      <c r="S70" s="49">
        <f>S67-S68-S69</f>
        <v>65678</v>
      </c>
      <c r="T70" s="49">
        <f t="shared" si="45"/>
        <v>86972</v>
      </c>
    </row>
    <row r="71" spans="2:20" ht="11.1" customHeight="1" x14ac:dyDescent="0.2">
      <c r="B71" s="235" t="s">
        <v>207</v>
      </c>
      <c r="C71" s="236"/>
      <c r="D71" s="89">
        <v>-3810</v>
      </c>
      <c r="E71" s="89">
        <v>-748</v>
      </c>
      <c r="F71" s="89">
        <v>-1805</v>
      </c>
      <c r="G71" s="89">
        <v>0</v>
      </c>
      <c r="H71" s="89">
        <f t="shared" si="43"/>
        <v>-6363</v>
      </c>
      <c r="I71" s="89">
        <v>0</v>
      </c>
      <c r="J71" s="89">
        <f t="shared" si="46"/>
        <v>-6363</v>
      </c>
      <c r="L71" s="235" t="s">
        <v>207</v>
      </c>
      <c r="M71" s="236"/>
      <c r="N71" s="52">
        <f t="shared" ref="N71:Q73" si="49">D71-D41</f>
        <v>-2571</v>
      </c>
      <c r="O71" s="52">
        <f t="shared" si="49"/>
        <v>-137</v>
      </c>
      <c r="P71" s="52">
        <f t="shared" si="49"/>
        <v>719</v>
      </c>
      <c r="Q71" s="52">
        <f t="shared" si="49"/>
        <v>0</v>
      </c>
      <c r="R71" s="52">
        <f t="shared" si="47"/>
        <v>-1989</v>
      </c>
      <c r="S71" s="52">
        <f>H71-I41</f>
        <v>-6363</v>
      </c>
      <c r="T71" s="52">
        <f t="shared" si="45"/>
        <v>-8352</v>
      </c>
    </row>
    <row r="72" spans="2:20" ht="11.1" customHeight="1" x14ac:dyDescent="0.2">
      <c r="B72" s="237" t="s">
        <v>208</v>
      </c>
      <c r="C72" s="250"/>
      <c r="D72" s="89">
        <v>0</v>
      </c>
      <c r="E72" s="89">
        <v>0</v>
      </c>
      <c r="F72" s="89">
        <v>859</v>
      </c>
      <c r="G72" s="89">
        <v>0</v>
      </c>
      <c r="H72" s="89">
        <f t="shared" si="43"/>
        <v>859</v>
      </c>
      <c r="I72" s="89"/>
      <c r="J72" s="89">
        <f t="shared" si="46"/>
        <v>859</v>
      </c>
      <c r="L72" s="237" t="s">
        <v>208</v>
      </c>
      <c r="M72" s="250"/>
      <c r="N72" s="52">
        <f t="shared" si="49"/>
        <v>0</v>
      </c>
      <c r="O72" s="52">
        <f t="shared" si="49"/>
        <v>0</v>
      </c>
      <c r="P72" s="52">
        <f t="shared" si="49"/>
        <v>459</v>
      </c>
      <c r="Q72" s="52">
        <f t="shared" si="49"/>
        <v>0</v>
      </c>
      <c r="R72" s="52">
        <f t="shared" si="47"/>
        <v>459</v>
      </c>
      <c r="S72" s="52">
        <f>H72-I42</f>
        <v>859</v>
      </c>
      <c r="T72" s="52">
        <f t="shared" si="45"/>
        <v>1318</v>
      </c>
    </row>
    <row r="73" spans="2:20" ht="11.1" customHeight="1" x14ac:dyDescent="0.2">
      <c r="B73" s="237" t="s">
        <v>27</v>
      </c>
      <c r="C73" s="250"/>
      <c r="D73" s="89"/>
      <c r="E73" s="89"/>
      <c r="F73" s="89"/>
      <c r="G73" s="89"/>
      <c r="H73" s="89">
        <f t="shared" si="43"/>
        <v>0</v>
      </c>
      <c r="I73" s="89">
        <v>0</v>
      </c>
      <c r="J73" s="89">
        <f t="shared" si="46"/>
        <v>0</v>
      </c>
      <c r="L73" s="237" t="s">
        <v>27</v>
      </c>
      <c r="M73" s="250"/>
      <c r="N73" s="52">
        <f t="shared" si="49"/>
        <v>0</v>
      </c>
      <c r="O73" s="52">
        <f t="shared" si="49"/>
        <v>0</v>
      </c>
      <c r="P73" s="52">
        <f t="shared" si="49"/>
        <v>0</v>
      </c>
      <c r="Q73" s="52">
        <f t="shared" si="49"/>
        <v>0</v>
      </c>
      <c r="R73" s="52">
        <f t="shared" si="47"/>
        <v>0</v>
      </c>
      <c r="S73" s="52">
        <f>H73-I43</f>
        <v>0</v>
      </c>
      <c r="T73" s="52">
        <f t="shared" si="45"/>
        <v>0</v>
      </c>
    </row>
    <row r="74" spans="2:20" ht="11.1" customHeight="1" x14ac:dyDescent="0.2">
      <c r="B74" s="233" t="s">
        <v>209</v>
      </c>
      <c r="C74" s="234"/>
      <c r="D74" s="90">
        <f t="shared" ref="D74:G74" si="50">D70+D71+D72+D73</f>
        <v>24017</v>
      </c>
      <c r="E74" s="90">
        <f t="shared" si="50"/>
        <v>23206</v>
      </c>
      <c r="F74" s="90">
        <f t="shared" si="50"/>
        <v>16077</v>
      </c>
      <c r="G74" s="90">
        <f t="shared" si="50"/>
        <v>-3126</v>
      </c>
      <c r="H74" s="90">
        <f t="shared" si="43"/>
        <v>60174</v>
      </c>
      <c r="I74" s="90">
        <f>I70+I71+I73</f>
        <v>0</v>
      </c>
      <c r="J74" s="90">
        <f>H74+I74</f>
        <v>60174</v>
      </c>
      <c r="L74" s="233" t="s">
        <v>209</v>
      </c>
      <c r="M74" s="234"/>
      <c r="N74" s="49">
        <f t="shared" ref="N74:Q74" si="51">N70+N71+N72+N73</f>
        <v>11529</v>
      </c>
      <c r="O74" s="49">
        <f t="shared" si="51"/>
        <v>2746</v>
      </c>
      <c r="P74" s="49">
        <f t="shared" si="51"/>
        <v>6448</v>
      </c>
      <c r="Q74" s="49">
        <f t="shared" si="51"/>
        <v>-959</v>
      </c>
      <c r="R74" s="49">
        <f t="shared" si="47"/>
        <v>19764</v>
      </c>
      <c r="S74" s="49">
        <f>S70+S71+S73</f>
        <v>59315</v>
      </c>
      <c r="T74" s="49">
        <f t="shared" si="45"/>
        <v>79079</v>
      </c>
    </row>
    <row r="75" spans="2:20" ht="11.1" customHeight="1" x14ac:dyDescent="0.2">
      <c r="B75" s="77" t="s">
        <v>22</v>
      </c>
      <c r="C75" s="78"/>
      <c r="D75" s="90">
        <v>20106</v>
      </c>
      <c r="E75" s="90">
        <v>11777</v>
      </c>
      <c r="F75" s="90">
        <v>7606</v>
      </c>
      <c r="G75" s="90">
        <v>0</v>
      </c>
      <c r="H75" s="90">
        <f t="shared" si="43"/>
        <v>39489</v>
      </c>
      <c r="I75" s="90">
        <v>0</v>
      </c>
      <c r="J75" s="90">
        <f t="shared" si="46"/>
        <v>39489</v>
      </c>
      <c r="L75" s="77" t="s">
        <v>22</v>
      </c>
      <c r="M75" s="78"/>
      <c r="N75" s="49">
        <f>D75-D45</f>
        <v>6735</v>
      </c>
      <c r="O75" s="49">
        <f>E75-E45</f>
        <v>4109</v>
      </c>
      <c r="P75" s="49">
        <f>F75-F45</f>
        <v>2875</v>
      </c>
      <c r="Q75" s="49">
        <f>G75-G45</f>
        <v>0</v>
      </c>
      <c r="R75" s="49">
        <f t="shared" si="47"/>
        <v>13719</v>
      </c>
      <c r="S75" s="49">
        <f>H75-I45</f>
        <v>39489</v>
      </c>
      <c r="T75" s="49">
        <f t="shared" si="45"/>
        <v>53208</v>
      </c>
    </row>
    <row r="76" spans="2:20" ht="11.1" customHeight="1" x14ac:dyDescent="0.2">
      <c r="B76" s="233" t="s">
        <v>23</v>
      </c>
      <c r="C76" s="234"/>
      <c r="D76" s="90">
        <f>D74+D75</f>
        <v>44123</v>
      </c>
      <c r="E76" s="90">
        <f t="shared" ref="E76:G76" si="52">E74+E75</f>
        <v>34983</v>
      </c>
      <c r="F76" s="90">
        <f t="shared" si="52"/>
        <v>23683</v>
      </c>
      <c r="G76" s="90">
        <f t="shared" si="52"/>
        <v>-3126</v>
      </c>
      <c r="H76" s="90">
        <f t="shared" si="43"/>
        <v>99663</v>
      </c>
      <c r="I76" s="90">
        <f>I74+I75</f>
        <v>0</v>
      </c>
      <c r="J76" s="90">
        <f t="shared" si="46"/>
        <v>99663</v>
      </c>
      <c r="L76" s="233" t="s">
        <v>23</v>
      </c>
      <c r="M76" s="234"/>
      <c r="N76" s="49">
        <f>N74+N75</f>
        <v>18264</v>
      </c>
      <c r="O76" s="49">
        <f t="shared" ref="O76:Q76" si="53">O74+O75</f>
        <v>6855</v>
      </c>
      <c r="P76" s="49">
        <f t="shared" si="53"/>
        <v>9323</v>
      </c>
      <c r="Q76" s="49">
        <f t="shared" si="53"/>
        <v>-959</v>
      </c>
      <c r="R76" s="49">
        <f t="shared" si="47"/>
        <v>33483</v>
      </c>
      <c r="S76" s="49">
        <f>S74+S75</f>
        <v>98804</v>
      </c>
      <c r="T76" s="49">
        <f t="shared" si="45"/>
        <v>132287</v>
      </c>
    </row>
    <row r="77" spans="2:20" ht="11.1" customHeight="1" x14ac:dyDescent="0.2">
      <c r="B77" s="248" t="s">
        <v>215</v>
      </c>
      <c r="C77" s="249"/>
      <c r="D77" s="249"/>
      <c r="E77" s="249"/>
      <c r="F77" s="249"/>
      <c r="G77" s="249"/>
      <c r="H77" s="73"/>
      <c r="I77" s="73"/>
      <c r="J77" s="82"/>
      <c r="L77" s="248" t="s">
        <v>216</v>
      </c>
      <c r="M77" s="249"/>
      <c r="N77" s="249"/>
      <c r="O77" s="249"/>
      <c r="P77" s="249"/>
      <c r="Q77" s="249"/>
      <c r="R77" s="73"/>
      <c r="S77" s="73"/>
      <c r="T77" s="82"/>
    </row>
    <row r="78" spans="2:20" ht="11.1" customHeight="1" x14ac:dyDescent="0.2">
      <c r="B78" s="251" t="s">
        <v>204</v>
      </c>
      <c r="C78" s="252"/>
      <c r="D78" s="89">
        <v>279614</v>
      </c>
      <c r="E78" s="89">
        <v>174546</v>
      </c>
      <c r="F78" s="89">
        <v>189596</v>
      </c>
      <c r="G78" s="89"/>
      <c r="H78" s="89">
        <f t="shared" ref="H78:H89" si="54">SUM(D78:G78)</f>
        <v>643756</v>
      </c>
      <c r="I78" s="89">
        <v>0</v>
      </c>
      <c r="J78" s="89">
        <f>H78+I78</f>
        <v>643756</v>
      </c>
      <c r="L78" s="251" t="s">
        <v>204</v>
      </c>
      <c r="M78" s="252"/>
      <c r="N78" s="52">
        <f t="shared" ref="N78:Q79" si="55">D78-D48</f>
        <v>94503</v>
      </c>
      <c r="O78" s="52">
        <f t="shared" si="55"/>
        <v>63327</v>
      </c>
      <c r="P78" s="52">
        <f t="shared" si="55"/>
        <v>62665</v>
      </c>
      <c r="Q78" s="52">
        <f t="shared" si="55"/>
        <v>0</v>
      </c>
      <c r="R78" s="52">
        <f>SUM(N78:Q78)</f>
        <v>220495</v>
      </c>
      <c r="S78" s="52">
        <f>H78-I48</f>
        <v>643756</v>
      </c>
      <c r="T78" s="52">
        <f t="shared" ref="T78:T89" si="56">R78+S78</f>
        <v>864251</v>
      </c>
    </row>
    <row r="79" spans="2:20" ht="11.1" customHeight="1" x14ac:dyDescent="0.2">
      <c r="B79" s="251" t="s">
        <v>33</v>
      </c>
      <c r="C79" s="252"/>
      <c r="D79" s="89">
        <v>206048</v>
      </c>
      <c r="E79" s="89">
        <v>134638</v>
      </c>
      <c r="F79" s="89">
        <v>120481</v>
      </c>
      <c r="G79" s="89"/>
      <c r="H79" s="89">
        <f t="shared" si="54"/>
        <v>461167</v>
      </c>
      <c r="I79" s="89">
        <v>0</v>
      </c>
      <c r="J79" s="89">
        <f t="shared" ref="J79:J89" si="57">H79+I79</f>
        <v>461167</v>
      </c>
      <c r="L79" s="251" t="s">
        <v>33</v>
      </c>
      <c r="M79" s="252"/>
      <c r="N79" s="52">
        <f t="shared" si="55"/>
        <v>71865</v>
      </c>
      <c r="O79" s="52">
        <f t="shared" si="55"/>
        <v>49420</v>
      </c>
      <c r="P79" s="52">
        <f t="shared" si="55"/>
        <v>42677</v>
      </c>
      <c r="Q79" s="52">
        <f t="shared" si="55"/>
        <v>0</v>
      </c>
      <c r="R79" s="52">
        <f t="shared" ref="R79:R89" si="58">SUM(N79:Q79)</f>
        <v>163962</v>
      </c>
      <c r="S79" s="52">
        <f>H79-I49</f>
        <v>461167</v>
      </c>
      <c r="T79" s="52">
        <f t="shared" si="56"/>
        <v>625129</v>
      </c>
    </row>
    <row r="80" spans="2:20" ht="11.1" customHeight="1" x14ac:dyDescent="0.2">
      <c r="B80" s="233" t="s">
        <v>205</v>
      </c>
      <c r="C80" s="234"/>
      <c r="D80" s="90">
        <f>D78-D79</f>
        <v>73566</v>
      </c>
      <c r="E80" s="90">
        <f>E78-E79</f>
        <v>39908</v>
      </c>
      <c r="F80" s="90">
        <f>F78-F79</f>
        <v>69115</v>
      </c>
      <c r="G80" s="90">
        <f>G78-G79</f>
        <v>0</v>
      </c>
      <c r="H80" s="90">
        <f t="shared" si="54"/>
        <v>182589</v>
      </c>
      <c r="I80" s="90">
        <f>I78-I79</f>
        <v>0</v>
      </c>
      <c r="J80" s="90">
        <f t="shared" si="57"/>
        <v>182589</v>
      </c>
      <c r="L80" s="233" t="s">
        <v>205</v>
      </c>
      <c r="M80" s="234"/>
      <c r="N80" s="49">
        <f>N78-N79</f>
        <v>22638</v>
      </c>
      <c r="O80" s="49">
        <f>O78-O79</f>
        <v>13907</v>
      </c>
      <c r="P80" s="49">
        <f>P78-P79</f>
        <v>19988</v>
      </c>
      <c r="Q80" s="49">
        <f>Q78-Q79</f>
        <v>0</v>
      </c>
      <c r="R80" s="49">
        <f t="shared" si="58"/>
        <v>56533</v>
      </c>
      <c r="S80" s="49">
        <f>S78-S79</f>
        <v>182589</v>
      </c>
      <c r="T80" s="49">
        <f t="shared" si="56"/>
        <v>239122</v>
      </c>
    </row>
    <row r="81" spans="2:20" ht="11.1" customHeight="1" x14ac:dyDescent="0.2">
      <c r="B81" s="235" t="s">
        <v>4</v>
      </c>
      <c r="C81" s="236"/>
      <c r="D81" s="89">
        <v>12372</v>
      </c>
      <c r="E81" s="89">
        <v>4438</v>
      </c>
      <c r="F81" s="89">
        <v>11621</v>
      </c>
      <c r="G81" s="89">
        <v>283</v>
      </c>
      <c r="H81" s="89">
        <f t="shared" si="54"/>
        <v>28714</v>
      </c>
      <c r="I81" s="89">
        <v>0</v>
      </c>
      <c r="J81" s="89">
        <f t="shared" si="57"/>
        <v>28714</v>
      </c>
      <c r="L81" s="235" t="s">
        <v>4</v>
      </c>
      <c r="M81" s="236"/>
      <c r="N81" s="52">
        <f t="shared" ref="N81:Q82" si="59">D81-D51</f>
        <v>4073.2105560454493</v>
      </c>
      <c r="O81" s="52">
        <f t="shared" si="59"/>
        <v>1601.22961603455</v>
      </c>
      <c r="P81" s="52">
        <f t="shared" si="59"/>
        <v>3588.3573799999976</v>
      </c>
      <c r="Q81" s="52">
        <f t="shared" si="59"/>
        <v>91.669999999999987</v>
      </c>
      <c r="R81" s="52">
        <f t="shared" si="58"/>
        <v>9354.4675520799974</v>
      </c>
      <c r="S81" s="52">
        <f>H81-I51</f>
        <v>28714</v>
      </c>
      <c r="T81" s="52">
        <f t="shared" si="56"/>
        <v>38068.467552079994</v>
      </c>
    </row>
    <row r="82" spans="2:20" ht="11.1" customHeight="1" x14ac:dyDescent="0.2">
      <c r="B82" s="235" t="s">
        <v>5</v>
      </c>
      <c r="C82" s="236"/>
      <c r="D82" s="89">
        <v>42964</v>
      </c>
      <c r="E82" s="89">
        <v>18608</v>
      </c>
      <c r="F82" s="89">
        <v>29662</v>
      </c>
      <c r="G82" s="89">
        <v>2163</v>
      </c>
      <c r="H82" s="89">
        <f t="shared" si="54"/>
        <v>93397</v>
      </c>
      <c r="I82" s="89">
        <v>0</v>
      </c>
      <c r="J82" s="89">
        <f t="shared" si="57"/>
        <v>93397</v>
      </c>
      <c r="L82" s="235" t="s">
        <v>5</v>
      </c>
      <c r="M82" s="236"/>
      <c r="N82" s="52">
        <f t="shared" si="59"/>
        <v>13183</v>
      </c>
      <c r="O82" s="52">
        <f t="shared" si="59"/>
        <v>6331</v>
      </c>
      <c r="P82" s="52">
        <f t="shared" si="59"/>
        <v>9408.9761648961576</v>
      </c>
      <c r="Q82" s="52">
        <f t="shared" si="59"/>
        <v>619.84999999999991</v>
      </c>
      <c r="R82" s="52">
        <f t="shared" si="58"/>
        <v>29542.826164896156</v>
      </c>
      <c r="S82" s="52">
        <f>H82-I52</f>
        <v>93397</v>
      </c>
      <c r="T82" s="52">
        <f t="shared" si="56"/>
        <v>122939.82616489616</v>
      </c>
    </row>
    <row r="83" spans="2:20" ht="11.1" customHeight="1" x14ac:dyDescent="0.2">
      <c r="B83" s="233" t="s">
        <v>206</v>
      </c>
      <c r="C83" s="234"/>
      <c r="D83" s="90">
        <f>D80-D81-D82</f>
        <v>18230</v>
      </c>
      <c r="E83" s="90">
        <f>E80-E81-E82</f>
        <v>16862</v>
      </c>
      <c r="F83" s="90">
        <f>F80-F81-F82</f>
        <v>27832</v>
      </c>
      <c r="G83" s="90">
        <f>G80-G81-G82</f>
        <v>-2446</v>
      </c>
      <c r="H83" s="90">
        <f t="shared" si="54"/>
        <v>60478</v>
      </c>
      <c r="I83" s="90">
        <f>I80-I81-I82</f>
        <v>0</v>
      </c>
      <c r="J83" s="90">
        <f t="shared" si="57"/>
        <v>60478</v>
      </c>
      <c r="L83" s="233" t="s">
        <v>206</v>
      </c>
      <c r="M83" s="234"/>
      <c r="N83" s="49">
        <f>N80-N81-N82</f>
        <v>5381.7894439545489</v>
      </c>
      <c r="O83" s="49">
        <f>O80-O81-O82</f>
        <v>5974.7703839654496</v>
      </c>
      <c r="P83" s="49">
        <f>P80-P81-P82</f>
        <v>6990.6664551038448</v>
      </c>
      <c r="Q83" s="49">
        <f>Q80-Q81-Q82</f>
        <v>-711.51999999999987</v>
      </c>
      <c r="R83" s="49">
        <f t="shared" si="58"/>
        <v>17635.706283023843</v>
      </c>
      <c r="S83" s="49">
        <f>S80-S81-S82</f>
        <v>60478</v>
      </c>
      <c r="T83" s="49">
        <f t="shared" si="56"/>
        <v>78113.706283023843</v>
      </c>
    </row>
    <row r="84" spans="2:20" ht="11.1" customHeight="1" x14ac:dyDescent="0.2">
      <c r="B84" s="235" t="s">
        <v>207</v>
      </c>
      <c r="C84" s="236"/>
      <c r="D84" s="89">
        <v>-798</v>
      </c>
      <c r="E84" s="89">
        <v>1797</v>
      </c>
      <c r="F84" s="89">
        <v>-2042</v>
      </c>
      <c r="G84" s="89"/>
      <c r="H84" s="89">
        <f t="shared" si="54"/>
        <v>-1043</v>
      </c>
      <c r="I84" s="89"/>
      <c r="J84" s="89">
        <f t="shared" si="57"/>
        <v>-1043</v>
      </c>
      <c r="L84" s="235" t="s">
        <v>207</v>
      </c>
      <c r="M84" s="236"/>
      <c r="N84" s="52">
        <f t="shared" ref="N84:Q86" si="60">D84-D54</f>
        <v>-374</v>
      </c>
      <c r="O84" s="52">
        <f t="shared" si="60"/>
        <v>1833</v>
      </c>
      <c r="P84" s="52">
        <f t="shared" si="60"/>
        <v>-655</v>
      </c>
      <c r="Q84" s="52">
        <f t="shared" si="60"/>
        <v>0</v>
      </c>
      <c r="R84" s="52">
        <f t="shared" si="58"/>
        <v>804</v>
      </c>
      <c r="S84" s="52">
        <f>H84-I54</f>
        <v>-1043</v>
      </c>
      <c r="T84" s="52">
        <f t="shared" si="56"/>
        <v>-239</v>
      </c>
    </row>
    <row r="85" spans="2:20" ht="11.1" customHeight="1" x14ac:dyDescent="0.2">
      <c r="B85" s="237" t="s">
        <v>208</v>
      </c>
      <c r="C85" s="250"/>
      <c r="D85" s="89">
        <v>0</v>
      </c>
      <c r="E85" s="89">
        <v>0</v>
      </c>
      <c r="F85" s="89">
        <v>1166</v>
      </c>
      <c r="G85" s="89"/>
      <c r="H85" s="89">
        <f t="shared" si="54"/>
        <v>1166</v>
      </c>
      <c r="I85" s="89"/>
      <c r="J85" s="89">
        <f t="shared" si="57"/>
        <v>1166</v>
      </c>
      <c r="L85" s="237" t="s">
        <v>208</v>
      </c>
      <c r="M85" s="250"/>
      <c r="N85" s="52">
        <f t="shared" si="60"/>
        <v>0</v>
      </c>
      <c r="O85" s="52">
        <f t="shared" si="60"/>
        <v>0</v>
      </c>
      <c r="P85" s="52">
        <f t="shared" si="60"/>
        <v>603</v>
      </c>
      <c r="Q85" s="52">
        <f t="shared" si="60"/>
        <v>0</v>
      </c>
      <c r="R85" s="52">
        <f t="shared" si="58"/>
        <v>603</v>
      </c>
      <c r="S85" s="52">
        <f>H85-I55</f>
        <v>1166</v>
      </c>
      <c r="T85" s="52">
        <f t="shared" si="56"/>
        <v>1769</v>
      </c>
    </row>
    <row r="86" spans="2:20" ht="11.1" customHeight="1" x14ac:dyDescent="0.2">
      <c r="B86" s="237" t="s">
        <v>27</v>
      </c>
      <c r="C86" s="250"/>
      <c r="D86" s="89">
        <v>0</v>
      </c>
      <c r="E86" s="89"/>
      <c r="F86" s="89"/>
      <c r="G86" s="89">
        <v>0</v>
      </c>
      <c r="H86" s="89">
        <f t="shared" si="54"/>
        <v>0</v>
      </c>
      <c r="I86" s="89">
        <v>0</v>
      </c>
      <c r="J86" s="89">
        <f t="shared" si="57"/>
        <v>0</v>
      </c>
      <c r="L86" s="237" t="s">
        <v>27</v>
      </c>
      <c r="M86" s="250"/>
      <c r="N86" s="52">
        <f t="shared" si="60"/>
        <v>0</v>
      </c>
      <c r="O86" s="52">
        <f t="shared" si="60"/>
        <v>0</v>
      </c>
      <c r="P86" s="52">
        <f t="shared" si="60"/>
        <v>0</v>
      </c>
      <c r="Q86" s="52">
        <f t="shared" si="60"/>
        <v>0</v>
      </c>
      <c r="R86" s="52">
        <f t="shared" si="58"/>
        <v>0</v>
      </c>
      <c r="S86" s="52">
        <f>H86-I56</f>
        <v>0</v>
      </c>
      <c r="T86" s="52">
        <f t="shared" si="56"/>
        <v>0</v>
      </c>
    </row>
    <row r="87" spans="2:20" ht="11.1" customHeight="1" x14ac:dyDescent="0.2">
      <c r="B87" s="233" t="s">
        <v>209</v>
      </c>
      <c r="C87" s="234"/>
      <c r="D87" s="90">
        <f>D83+D84+D85+D86</f>
        <v>17432</v>
      </c>
      <c r="E87" s="90">
        <f>E83+E84+E85+E86</f>
        <v>18659</v>
      </c>
      <c r="F87" s="90">
        <f>F83+F84+F85+F86</f>
        <v>26956</v>
      </c>
      <c r="G87" s="90">
        <f>G83+G84+G85+G86</f>
        <v>-2446</v>
      </c>
      <c r="H87" s="90">
        <f t="shared" si="54"/>
        <v>60601</v>
      </c>
      <c r="I87" s="90">
        <f>I83+I84+I86</f>
        <v>0</v>
      </c>
      <c r="J87" s="90">
        <f t="shared" si="57"/>
        <v>60601</v>
      </c>
      <c r="L87" s="233" t="s">
        <v>209</v>
      </c>
      <c r="M87" s="234"/>
      <c r="N87" s="49">
        <f t="shared" ref="N87:Q87" si="61">N83+N84+N85+N86</f>
        <v>5007.7894439545489</v>
      </c>
      <c r="O87" s="49">
        <f t="shared" si="61"/>
        <v>7807.7703839654496</v>
      </c>
      <c r="P87" s="49">
        <f t="shared" si="61"/>
        <v>6938.6664551038448</v>
      </c>
      <c r="Q87" s="49">
        <f t="shared" si="61"/>
        <v>-711.51999999999987</v>
      </c>
      <c r="R87" s="49">
        <f t="shared" si="58"/>
        <v>19042.706283023843</v>
      </c>
      <c r="S87" s="49">
        <f>S83+S84+S86</f>
        <v>59435</v>
      </c>
      <c r="T87" s="49">
        <f t="shared" si="56"/>
        <v>78477.706283023843</v>
      </c>
    </row>
    <row r="88" spans="2:20" ht="11.1" customHeight="1" x14ac:dyDescent="0.2">
      <c r="B88" s="77" t="s">
        <v>22</v>
      </c>
      <c r="C88" s="78"/>
      <c r="D88" s="90">
        <v>18524</v>
      </c>
      <c r="E88" s="90">
        <v>11697</v>
      </c>
      <c r="F88" s="90">
        <v>6811</v>
      </c>
      <c r="G88" s="90">
        <v>0</v>
      </c>
      <c r="H88" s="90">
        <f t="shared" si="54"/>
        <v>37032</v>
      </c>
      <c r="I88" s="90"/>
      <c r="J88" s="90">
        <f t="shared" si="57"/>
        <v>37032</v>
      </c>
      <c r="L88" s="77" t="s">
        <v>22</v>
      </c>
      <c r="M88" s="78"/>
      <c r="N88" s="49">
        <f>D88-D58</f>
        <v>6257</v>
      </c>
      <c r="O88" s="49">
        <f>E88-E58</f>
        <v>3806</v>
      </c>
      <c r="P88" s="49">
        <f>F88-F58</f>
        <v>2298</v>
      </c>
      <c r="Q88" s="49">
        <f>G88-G58</f>
        <v>0</v>
      </c>
      <c r="R88" s="49">
        <f t="shared" si="58"/>
        <v>12361</v>
      </c>
      <c r="S88" s="49">
        <f>H88-I58</f>
        <v>37032</v>
      </c>
      <c r="T88" s="49">
        <f t="shared" si="56"/>
        <v>49393</v>
      </c>
    </row>
    <row r="89" spans="2:20" ht="11.1" customHeight="1" x14ac:dyDescent="0.2">
      <c r="B89" s="233" t="s">
        <v>23</v>
      </c>
      <c r="C89" s="234"/>
      <c r="D89" s="90">
        <f>D87+D88</f>
        <v>35956</v>
      </c>
      <c r="E89" s="90">
        <f t="shared" ref="E89:G89" si="62">E87+E88</f>
        <v>30356</v>
      </c>
      <c r="F89" s="90">
        <f t="shared" si="62"/>
        <v>33767</v>
      </c>
      <c r="G89" s="90">
        <f t="shared" si="62"/>
        <v>-2446</v>
      </c>
      <c r="H89" s="90">
        <f t="shared" si="54"/>
        <v>97633</v>
      </c>
      <c r="I89" s="90">
        <f t="shared" ref="I89" si="63">I87+I88</f>
        <v>0</v>
      </c>
      <c r="J89" s="90">
        <f t="shared" si="57"/>
        <v>97633</v>
      </c>
      <c r="L89" s="233" t="s">
        <v>23</v>
      </c>
      <c r="M89" s="234"/>
      <c r="N89" s="49">
        <f>N87+N88</f>
        <v>11264.789443954549</v>
      </c>
      <c r="O89" s="49">
        <f t="shared" ref="O89:Q89" si="64">O87+O88</f>
        <v>11613.77038396545</v>
      </c>
      <c r="P89" s="49">
        <f t="shared" si="64"/>
        <v>9236.6664551038448</v>
      </c>
      <c r="Q89" s="49">
        <f t="shared" si="64"/>
        <v>-711.51999999999987</v>
      </c>
      <c r="R89" s="49">
        <f t="shared" si="58"/>
        <v>31403.706283023843</v>
      </c>
      <c r="S89" s="49">
        <f>S87+S88</f>
        <v>96467</v>
      </c>
      <c r="T89" s="49">
        <f t="shared" si="56"/>
        <v>127870.70628302384</v>
      </c>
    </row>
    <row r="91" spans="2:20" ht="11.1" customHeight="1" x14ac:dyDescent="0.2">
      <c r="B91" s="48"/>
      <c r="C91" s="72"/>
      <c r="D91" s="48"/>
      <c r="E91" s="48"/>
      <c r="F91" s="48"/>
      <c r="G91" s="48"/>
      <c r="H91" s="48"/>
      <c r="I91" s="48"/>
      <c r="J91" s="88"/>
      <c r="L91" s="48"/>
      <c r="M91" s="72"/>
      <c r="N91" s="48"/>
      <c r="O91" s="48"/>
      <c r="P91" s="48"/>
      <c r="Q91" s="48"/>
      <c r="R91" s="48"/>
      <c r="S91" s="48"/>
      <c r="T91" s="88"/>
    </row>
    <row r="92" spans="2:20" ht="11.1" customHeight="1" x14ac:dyDescent="0.2">
      <c r="B92" s="244" t="s">
        <v>59</v>
      </c>
      <c r="C92" s="253"/>
      <c r="D92" s="241" t="s">
        <v>196</v>
      </c>
      <c r="E92" s="241" t="s">
        <v>197</v>
      </c>
      <c r="F92" s="241" t="s">
        <v>198</v>
      </c>
      <c r="G92" s="241" t="s">
        <v>199</v>
      </c>
      <c r="H92" s="241" t="s">
        <v>200</v>
      </c>
      <c r="I92" s="241" t="s">
        <v>201</v>
      </c>
      <c r="J92" s="241" t="s">
        <v>202</v>
      </c>
      <c r="L92" s="244" t="s">
        <v>59</v>
      </c>
      <c r="M92" s="253"/>
      <c r="N92" s="241" t="s">
        <v>196</v>
      </c>
      <c r="O92" s="241" t="s">
        <v>197</v>
      </c>
      <c r="P92" s="241" t="s">
        <v>198</v>
      </c>
      <c r="Q92" s="241" t="s">
        <v>199</v>
      </c>
      <c r="R92" s="241" t="s">
        <v>200</v>
      </c>
      <c r="S92" s="241" t="s">
        <v>201</v>
      </c>
      <c r="T92" s="241" t="s">
        <v>202</v>
      </c>
    </row>
    <row r="93" spans="2:20" ht="11.1" customHeight="1" x14ac:dyDescent="0.2">
      <c r="B93" s="254"/>
      <c r="C93" s="255"/>
      <c r="D93" s="242"/>
      <c r="E93" s="242"/>
      <c r="F93" s="242"/>
      <c r="G93" s="242"/>
      <c r="H93" s="242"/>
      <c r="I93" s="242"/>
      <c r="J93" s="242"/>
      <c r="L93" s="254"/>
      <c r="M93" s="255"/>
      <c r="N93" s="242"/>
      <c r="O93" s="242"/>
      <c r="P93" s="242"/>
      <c r="Q93" s="242"/>
      <c r="R93" s="242"/>
      <c r="S93" s="242"/>
      <c r="T93" s="242"/>
    </row>
    <row r="94" spans="2:20" ht="11.1" customHeight="1" x14ac:dyDescent="0.2">
      <c r="B94" s="248" t="s">
        <v>228</v>
      </c>
      <c r="C94" s="249"/>
      <c r="D94" s="249"/>
      <c r="E94" s="249"/>
      <c r="F94" s="249"/>
      <c r="G94" s="249"/>
      <c r="H94" s="73"/>
      <c r="I94" s="73"/>
      <c r="J94" s="82"/>
      <c r="L94" s="248" t="s">
        <v>229</v>
      </c>
      <c r="M94" s="249"/>
      <c r="N94" s="249"/>
      <c r="O94" s="249"/>
      <c r="P94" s="249"/>
      <c r="Q94" s="249"/>
      <c r="R94" s="73"/>
      <c r="S94" s="73"/>
      <c r="T94" s="82"/>
    </row>
    <row r="95" spans="2:20" ht="11.1" customHeight="1" x14ac:dyDescent="0.2">
      <c r="B95" s="251" t="s">
        <v>204</v>
      </c>
      <c r="C95" s="252"/>
      <c r="D95" s="52"/>
      <c r="E95" s="52"/>
      <c r="F95" s="52"/>
      <c r="G95" s="52"/>
      <c r="H95" s="52"/>
      <c r="I95" s="52"/>
      <c r="J95" s="52"/>
      <c r="L95" s="251" t="s">
        <v>204</v>
      </c>
      <c r="M95" s="252"/>
      <c r="N95" s="52">
        <f t="shared" ref="N95:Q96" si="65">D95-D65</f>
        <v>-335926</v>
      </c>
      <c r="O95" s="52">
        <f t="shared" si="65"/>
        <v>-198390</v>
      </c>
      <c r="P95" s="52">
        <f t="shared" si="65"/>
        <v>-171754</v>
      </c>
      <c r="Q95" s="52">
        <f t="shared" si="65"/>
        <v>0</v>
      </c>
      <c r="R95" s="52">
        <f>SUM(N95:Q95)</f>
        <v>-706070</v>
      </c>
      <c r="S95" s="52">
        <f>I95-H65</f>
        <v>-706070</v>
      </c>
      <c r="T95" s="52">
        <f t="shared" ref="T95:T106" si="66">R95+S95</f>
        <v>-1412140</v>
      </c>
    </row>
    <row r="96" spans="2:20" ht="11.1" customHeight="1" x14ac:dyDescent="0.2">
      <c r="B96" s="251" t="s">
        <v>33</v>
      </c>
      <c r="C96" s="252"/>
      <c r="D96" s="52"/>
      <c r="E96" s="52"/>
      <c r="F96" s="52"/>
      <c r="G96" s="52"/>
      <c r="H96" s="52"/>
      <c r="I96" s="52"/>
      <c r="J96" s="52"/>
      <c r="L96" s="251" t="s">
        <v>33</v>
      </c>
      <c r="M96" s="252"/>
      <c r="N96" s="52">
        <f t="shared" si="65"/>
        <v>-257293</v>
      </c>
      <c r="O96" s="52">
        <f t="shared" si="65"/>
        <v>-149767</v>
      </c>
      <c r="P96" s="52">
        <f t="shared" si="65"/>
        <v>-115185</v>
      </c>
      <c r="Q96" s="52">
        <f t="shared" si="65"/>
        <v>0</v>
      </c>
      <c r="R96" s="52">
        <f t="shared" ref="R96:R106" si="67">SUM(N96:Q96)</f>
        <v>-522245</v>
      </c>
      <c r="S96" s="52">
        <f>I96-H66</f>
        <v>-522245</v>
      </c>
      <c r="T96" s="52">
        <f t="shared" si="66"/>
        <v>-1044490</v>
      </c>
    </row>
    <row r="97" spans="2:20" ht="11.1" customHeight="1" x14ac:dyDescent="0.2">
      <c r="B97" s="233" t="s">
        <v>205</v>
      </c>
      <c r="C97" s="234"/>
      <c r="D97" s="49"/>
      <c r="E97" s="49"/>
      <c r="F97" s="49"/>
      <c r="G97" s="49"/>
      <c r="H97" s="49"/>
      <c r="I97" s="49"/>
      <c r="J97" s="49"/>
      <c r="L97" s="233" t="s">
        <v>205</v>
      </c>
      <c r="M97" s="234"/>
      <c r="N97" s="49">
        <f>N95-N96</f>
        <v>-78633</v>
      </c>
      <c r="O97" s="49">
        <f>O95-O96</f>
        <v>-48623</v>
      </c>
      <c r="P97" s="49">
        <f>P95-P96</f>
        <v>-56569</v>
      </c>
      <c r="Q97" s="49">
        <f>Q95-Q96</f>
        <v>0</v>
      </c>
      <c r="R97" s="49">
        <f t="shared" si="67"/>
        <v>-183825</v>
      </c>
      <c r="S97" s="49">
        <f>S95-S96</f>
        <v>-183825</v>
      </c>
      <c r="T97" s="49">
        <f t="shared" si="66"/>
        <v>-367650</v>
      </c>
    </row>
    <row r="98" spans="2:20" ht="11.1" customHeight="1" x14ac:dyDescent="0.2">
      <c r="B98" s="235" t="s">
        <v>4</v>
      </c>
      <c r="C98" s="236"/>
      <c r="D98" s="52"/>
      <c r="E98" s="52"/>
      <c r="F98" s="52"/>
      <c r="G98" s="52"/>
      <c r="H98" s="52"/>
      <c r="I98" s="52"/>
      <c r="J98" s="52"/>
      <c r="L98" s="235" t="s">
        <v>4</v>
      </c>
      <c r="M98" s="236"/>
      <c r="N98" s="52">
        <f t="shared" ref="N98:Q99" si="68">D98-D68</f>
        <v>-10333</v>
      </c>
      <c r="O98" s="52">
        <f t="shared" si="68"/>
        <v>-4386</v>
      </c>
      <c r="P98" s="52">
        <f t="shared" si="68"/>
        <v>-9211</v>
      </c>
      <c r="Q98" s="52">
        <f t="shared" si="68"/>
        <v>-367</v>
      </c>
      <c r="R98" s="52">
        <f t="shared" si="67"/>
        <v>-24297</v>
      </c>
      <c r="S98" s="52">
        <f>I98-H68</f>
        <v>-24297</v>
      </c>
      <c r="T98" s="52">
        <f t="shared" si="66"/>
        <v>-48594</v>
      </c>
    </row>
    <row r="99" spans="2:20" ht="11.1" customHeight="1" x14ac:dyDescent="0.2">
      <c r="B99" s="235" t="s">
        <v>5</v>
      </c>
      <c r="C99" s="236"/>
      <c r="D99" s="52"/>
      <c r="E99" s="52"/>
      <c r="F99" s="52"/>
      <c r="G99" s="52"/>
      <c r="H99" s="52"/>
      <c r="I99" s="52"/>
      <c r="J99" s="52"/>
      <c r="L99" s="235" t="s">
        <v>5</v>
      </c>
      <c r="M99" s="236"/>
      <c r="N99" s="52">
        <f t="shared" si="68"/>
        <v>-40473</v>
      </c>
      <c r="O99" s="52">
        <f t="shared" si="68"/>
        <v>-20283</v>
      </c>
      <c r="P99" s="52">
        <f t="shared" si="68"/>
        <v>-30335</v>
      </c>
      <c r="Q99" s="52">
        <f t="shared" si="68"/>
        <v>-2759</v>
      </c>
      <c r="R99" s="52">
        <f t="shared" si="67"/>
        <v>-93850</v>
      </c>
      <c r="S99" s="52">
        <f>I99-H69</f>
        <v>-93850</v>
      </c>
      <c r="T99" s="52">
        <f t="shared" si="66"/>
        <v>-187700</v>
      </c>
    </row>
    <row r="100" spans="2:20" ht="11.1" customHeight="1" x14ac:dyDescent="0.2">
      <c r="B100" s="233" t="s">
        <v>206</v>
      </c>
      <c r="C100" s="234"/>
      <c r="D100" s="49"/>
      <c r="E100" s="49"/>
      <c r="F100" s="49"/>
      <c r="G100" s="49"/>
      <c r="H100" s="49"/>
      <c r="I100" s="49"/>
      <c r="J100" s="49"/>
      <c r="L100" s="233" t="s">
        <v>206</v>
      </c>
      <c r="M100" s="234"/>
      <c r="N100" s="49">
        <f>N97-N98-N99</f>
        <v>-27827</v>
      </c>
      <c r="O100" s="49">
        <f>O97-O98-O99</f>
        <v>-23954</v>
      </c>
      <c r="P100" s="49">
        <f>P97-P98-P99</f>
        <v>-17023</v>
      </c>
      <c r="Q100" s="49">
        <f>Q97-Q98-Q99</f>
        <v>3126</v>
      </c>
      <c r="R100" s="49">
        <f t="shared" si="67"/>
        <v>-65678</v>
      </c>
      <c r="S100" s="49">
        <f>S97-S98-S99</f>
        <v>-65678</v>
      </c>
      <c r="T100" s="49">
        <f t="shared" si="66"/>
        <v>-131356</v>
      </c>
    </row>
    <row r="101" spans="2:20" ht="11.1" customHeight="1" x14ac:dyDescent="0.2">
      <c r="B101" s="235" t="s">
        <v>207</v>
      </c>
      <c r="C101" s="236"/>
      <c r="D101" s="52"/>
      <c r="E101" s="52"/>
      <c r="F101" s="52"/>
      <c r="G101" s="52"/>
      <c r="H101" s="52"/>
      <c r="I101" s="52"/>
      <c r="J101" s="52"/>
      <c r="L101" s="235" t="s">
        <v>207</v>
      </c>
      <c r="M101" s="236"/>
      <c r="N101" s="52">
        <f t="shared" ref="N101:Q103" si="69">D101-D71</f>
        <v>3810</v>
      </c>
      <c r="O101" s="52">
        <f t="shared" si="69"/>
        <v>748</v>
      </c>
      <c r="P101" s="52">
        <f t="shared" si="69"/>
        <v>1805</v>
      </c>
      <c r="Q101" s="52">
        <f t="shared" si="69"/>
        <v>0</v>
      </c>
      <c r="R101" s="52">
        <f t="shared" si="67"/>
        <v>6363</v>
      </c>
      <c r="S101" s="52">
        <f>I101-H71</f>
        <v>6363</v>
      </c>
      <c r="T101" s="52">
        <f t="shared" si="66"/>
        <v>12726</v>
      </c>
    </row>
    <row r="102" spans="2:20" ht="11.1" customHeight="1" x14ac:dyDescent="0.2">
      <c r="B102" s="237" t="s">
        <v>208</v>
      </c>
      <c r="C102" s="250"/>
      <c r="D102" s="52"/>
      <c r="E102" s="52"/>
      <c r="F102" s="52"/>
      <c r="G102" s="52"/>
      <c r="H102" s="52"/>
      <c r="I102" s="52"/>
      <c r="J102" s="52"/>
      <c r="L102" s="237" t="s">
        <v>208</v>
      </c>
      <c r="M102" s="250"/>
      <c r="N102" s="52">
        <f t="shared" si="69"/>
        <v>0</v>
      </c>
      <c r="O102" s="52">
        <f t="shared" si="69"/>
        <v>0</v>
      </c>
      <c r="P102" s="52">
        <f t="shared" si="69"/>
        <v>-859</v>
      </c>
      <c r="Q102" s="52">
        <f t="shared" si="69"/>
        <v>0</v>
      </c>
      <c r="R102" s="52">
        <f t="shared" si="67"/>
        <v>-859</v>
      </c>
      <c r="S102" s="52">
        <f>I102-H72</f>
        <v>-859</v>
      </c>
      <c r="T102" s="52">
        <f t="shared" si="66"/>
        <v>-1718</v>
      </c>
    </row>
    <row r="103" spans="2:20" ht="11.1" customHeight="1" x14ac:dyDescent="0.2">
      <c r="B103" s="237" t="s">
        <v>27</v>
      </c>
      <c r="C103" s="250"/>
      <c r="D103" s="52"/>
      <c r="E103" s="52"/>
      <c r="F103" s="52"/>
      <c r="G103" s="52"/>
      <c r="H103" s="52"/>
      <c r="I103" s="52"/>
      <c r="J103" s="52"/>
      <c r="L103" s="237" t="s">
        <v>27</v>
      </c>
      <c r="M103" s="250"/>
      <c r="N103" s="52">
        <f t="shared" si="69"/>
        <v>0</v>
      </c>
      <c r="O103" s="52">
        <f t="shared" si="69"/>
        <v>0</v>
      </c>
      <c r="P103" s="52">
        <f t="shared" si="69"/>
        <v>0</v>
      </c>
      <c r="Q103" s="52">
        <f t="shared" si="69"/>
        <v>0</v>
      </c>
      <c r="R103" s="52">
        <f t="shared" si="67"/>
        <v>0</v>
      </c>
      <c r="S103" s="52">
        <f>I103-H73</f>
        <v>0</v>
      </c>
      <c r="T103" s="52">
        <f t="shared" si="66"/>
        <v>0</v>
      </c>
    </row>
    <row r="104" spans="2:20" ht="11.1" customHeight="1" x14ac:dyDescent="0.2">
      <c r="B104" s="233" t="s">
        <v>209</v>
      </c>
      <c r="C104" s="234"/>
      <c r="D104" s="49"/>
      <c r="E104" s="49"/>
      <c r="F104" s="49"/>
      <c r="G104" s="49"/>
      <c r="H104" s="49"/>
      <c r="I104" s="49"/>
      <c r="J104" s="49"/>
      <c r="L104" s="233" t="s">
        <v>209</v>
      </c>
      <c r="M104" s="234"/>
      <c r="N104" s="49">
        <f t="shared" ref="N104:Q104" si="70">N100+N101+N102+N103</f>
        <v>-24017</v>
      </c>
      <c r="O104" s="49">
        <f t="shared" si="70"/>
        <v>-23206</v>
      </c>
      <c r="P104" s="49">
        <f t="shared" si="70"/>
        <v>-16077</v>
      </c>
      <c r="Q104" s="49">
        <f t="shared" si="70"/>
        <v>3126</v>
      </c>
      <c r="R104" s="49">
        <f t="shared" si="67"/>
        <v>-60174</v>
      </c>
      <c r="S104" s="49">
        <f>S100+S101+S103</f>
        <v>-59315</v>
      </c>
      <c r="T104" s="49">
        <f t="shared" si="66"/>
        <v>-119489</v>
      </c>
    </row>
    <row r="105" spans="2:20" ht="11.1" customHeight="1" x14ac:dyDescent="0.2">
      <c r="B105" s="77" t="s">
        <v>22</v>
      </c>
      <c r="C105" s="78"/>
      <c r="D105" s="49"/>
      <c r="E105" s="49"/>
      <c r="F105" s="49"/>
      <c r="G105" s="49"/>
      <c r="H105" s="49"/>
      <c r="I105" s="49"/>
      <c r="J105" s="49"/>
      <c r="L105" s="77" t="s">
        <v>22</v>
      </c>
      <c r="M105" s="78"/>
      <c r="N105" s="49">
        <f>D105-D75</f>
        <v>-20106</v>
      </c>
      <c r="O105" s="49">
        <f>E105-E75</f>
        <v>-11777</v>
      </c>
      <c r="P105" s="49">
        <f>F105-F75</f>
        <v>-7606</v>
      </c>
      <c r="Q105" s="49">
        <f>G105-G75</f>
        <v>0</v>
      </c>
      <c r="R105" s="49">
        <f t="shared" si="67"/>
        <v>-39489</v>
      </c>
      <c r="S105" s="49">
        <f>I105-H75</f>
        <v>-39489</v>
      </c>
      <c r="T105" s="49">
        <f t="shared" si="66"/>
        <v>-78978</v>
      </c>
    </row>
    <row r="106" spans="2:20" ht="11.1" customHeight="1" x14ac:dyDescent="0.2">
      <c r="B106" s="233" t="s">
        <v>23</v>
      </c>
      <c r="C106" s="234"/>
      <c r="D106" s="49"/>
      <c r="E106" s="49"/>
      <c r="F106" s="49"/>
      <c r="G106" s="49"/>
      <c r="H106" s="49"/>
      <c r="I106" s="49"/>
      <c r="J106" s="49"/>
      <c r="L106" s="233" t="s">
        <v>23</v>
      </c>
      <c r="M106" s="234"/>
      <c r="N106" s="49">
        <f>N104+N105</f>
        <v>-44123</v>
      </c>
      <c r="O106" s="49">
        <f t="shared" ref="O106:Q106" si="71">O104+O105</f>
        <v>-34983</v>
      </c>
      <c r="P106" s="49">
        <f t="shared" si="71"/>
        <v>-23683</v>
      </c>
      <c r="Q106" s="49">
        <f t="shared" si="71"/>
        <v>3126</v>
      </c>
      <c r="R106" s="49">
        <f t="shared" si="67"/>
        <v>-99663</v>
      </c>
      <c r="S106" s="49">
        <f>S104+S105</f>
        <v>-98804</v>
      </c>
      <c r="T106" s="49">
        <f t="shared" si="66"/>
        <v>-198467</v>
      </c>
    </row>
    <row r="107" spans="2:20" ht="11.1" customHeight="1" x14ac:dyDescent="0.2">
      <c r="B107" s="248" t="s">
        <v>219</v>
      </c>
      <c r="C107" s="249"/>
      <c r="D107" s="249"/>
      <c r="E107" s="249"/>
      <c r="F107" s="249"/>
      <c r="G107" s="249"/>
      <c r="H107" s="73"/>
      <c r="I107" s="73"/>
      <c r="J107" s="82"/>
      <c r="L107" s="248" t="s">
        <v>220</v>
      </c>
      <c r="M107" s="249"/>
      <c r="N107" s="249"/>
      <c r="O107" s="249"/>
      <c r="P107" s="249"/>
      <c r="Q107" s="249"/>
      <c r="R107" s="73"/>
      <c r="S107" s="73"/>
      <c r="T107" s="82"/>
    </row>
    <row r="108" spans="2:20" ht="11.1" customHeight="1" x14ac:dyDescent="0.2">
      <c r="B108" s="251" t="s">
        <v>204</v>
      </c>
      <c r="C108" s="252"/>
      <c r="D108" s="52"/>
      <c r="E108" s="52"/>
      <c r="F108" s="52"/>
      <c r="G108" s="52"/>
      <c r="H108" s="52"/>
      <c r="I108" s="52"/>
      <c r="J108" s="52"/>
      <c r="L108" s="251" t="s">
        <v>204</v>
      </c>
      <c r="M108" s="252"/>
      <c r="N108" s="52">
        <f t="shared" ref="N108:Q109" si="72">D108-D78</f>
        <v>-279614</v>
      </c>
      <c r="O108" s="52">
        <f t="shared" si="72"/>
        <v>-174546</v>
      </c>
      <c r="P108" s="52">
        <f t="shared" si="72"/>
        <v>-189596</v>
      </c>
      <c r="Q108" s="52">
        <f t="shared" si="72"/>
        <v>0</v>
      </c>
      <c r="R108" s="52">
        <f>SUM(N108:Q108)</f>
        <v>-643756</v>
      </c>
      <c r="S108" s="52">
        <f>I108-H78</f>
        <v>-643756</v>
      </c>
      <c r="T108" s="52">
        <f t="shared" ref="T108:T119" si="73">R108+S108</f>
        <v>-1287512</v>
      </c>
    </row>
    <row r="109" spans="2:20" ht="11.1" customHeight="1" x14ac:dyDescent="0.2">
      <c r="B109" s="251" t="s">
        <v>33</v>
      </c>
      <c r="C109" s="252"/>
      <c r="D109" s="52"/>
      <c r="E109" s="52"/>
      <c r="F109" s="52"/>
      <c r="G109" s="52"/>
      <c r="H109" s="52"/>
      <c r="I109" s="52"/>
      <c r="J109" s="52"/>
      <c r="L109" s="251" t="s">
        <v>33</v>
      </c>
      <c r="M109" s="252"/>
      <c r="N109" s="52">
        <f t="shared" si="72"/>
        <v>-206048</v>
      </c>
      <c r="O109" s="52">
        <f t="shared" si="72"/>
        <v>-134638</v>
      </c>
      <c r="P109" s="52">
        <f t="shared" si="72"/>
        <v>-120481</v>
      </c>
      <c r="Q109" s="52">
        <f t="shared" si="72"/>
        <v>0</v>
      </c>
      <c r="R109" s="52">
        <f t="shared" ref="R109:R119" si="74">SUM(N109:Q109)</f>
        <v>-461167</v>
      </c>
      <c r="S109" s="52">
        <f>I109-H79</f>
        <v>-461167</v>
      </c>
      <c r="T109" s="52">
        <f t="shared" si="73"/>
        <v>-922334</v>
      </c>
    </row>
    <row r="110" spans="2:20" ht="11.1" customHeight="1" x14ac:dyDescent="0.2">
      <c r="B110" s="233" t="s">
        <v>205</v>
      </c>
      <c r="C110" s="234"/>
      <c r="D110" s="49"/>
      <c r="E110" s="49"/>
      <c r="F110" s="49"/>
      <c r="G110" s="49"/>
      <c r="H110" s="49"/>
      <c r="I110" s="49"/>
      <c r="J110" s="49"/>
      <c r="L110" s="233" t="s">
        <v>205</v>
      </c>
      <c r="M110" s="234"/>
      <c r="N110" s="49">
        <f>N108-N109</f>
        <v>-73566</v>
      </c>
      <c r="O110" s="49">
        <f>O108-O109</f>
        <v>-39908</v>
      </c>
      <c r="P110" s="49">
        <f>P108-P109</f>
        <v>-69115</v>
      </c>
      <c r="Q110" s="49">
        <f>Q108-Q109</f>
        <v>0</v>
      </c>
      <c r="R110" s="49">
        <f t="shared" si="74"/>
        <v>-182589</v>
      </c>
      <c r="S110" s="49">
        <f>S108-S109</f>
        <v>-182589</v>
      </c>
      <c r="T110" s="49">
        <f t="shared" si="73"/>
        <v>-365178</v>
      </c>
    </row>
    <row r="111" spans="2:20" ht="11.1" customHeight="1" x14ac:dyDescent="0.2">
      <c r="B111" s="235" t="s">
        <v>4</v>
      </c>
      <c r="C111" s="236"/>
      <c r="D111" s="52"/>
      <c r="E111" s="52"/>
      <c r="F111" s="52"/>
      <c r="G111" s="52"/>
      <c r="H111" s="52"/>
      <c r="I111" s="52"/>
      <c r="J111" s="52"/>
      <c r="L111" s="235" t="s">
        <v>4</v>
      </c>
      <c r="M111" s="236"/>
      <c r="N111" s="52">
        <f t="shared" ref="N111:Q112" si="75">D111-D81</f>
        <v>-12372</v>
      </c>
      <c r="O111" s="52">
        <f t="shared" si="75"/>
        <v>-4438</v>
      </c>
      <c r="P111" s="52">
        <f t="shared" si="75"/>
        <v>-11621</v>
      </c>
      <c r="Q111" s="52">
        <f t="shared" si="75"/>
        <v>-283</v>
      </c>
      <c r="R111" s="52">
        <f t="shared" si="74"/>
        <v>-28714</v>
      </c>
      <c r="S111" s="52">
        <f>I111-H81</f>
        <v>-28714</v>
      </c>
      <c r="T111" s="52">
        <f t="shared" si="73"/>
        <v>-57428</v>
      </c>
    </row>
    <row r="112" spans="2:20" ht="11.1" customHeight="1" x14ac:dyDescent="0.2">
      <c r="B112" s="235" t="s">
        <v>5</v>
      </c>
      <c r="C112" s="236"/>
      <c r="D112" s="52"/>
      <c r="E112" s="52"/>
      <c r="F112" s="52"/>
      <c r="G112" s="52"/>
      <c r="H112" s="52"/>
      <c r="I112" s="52"/>
      <c r="J112" s="52"/>
      <c r="L112" s="235" t="s">
        <v>5</v>
      </c>
      <c r="M112" s="236"/>
      <c r="N112" s="52">
        <f t="shared" si="75"/>
        <v>-42964</v>
      </c>
      <c r="O112" s="52">
        <f t="shared" si="75"/>
        <v>-18608</v>
      </c>
      <c r="P112" s="52">
        <f t="shared" si="75"/>
        <v>-29662</v>
      </c>
      <c r="Q112" s="52">
        <f t="shared" si="75"/>
        <v>-2163</v>
      </c>
      <c r="R112" s="52">
        <f t="shared" si="74"/>
        <v>-93397</v>
      </c>
      <c r="S112" s="52">
        <f>I112-H82</f>
        <v>-93397</v>
      </c>
      <c r="T112" s="52">
        <f t="shared" si="73"/>
        <v>-186794</v>
      </c>
    </row>
    <row r="113" spans="2:20" ht="11.1" customHeight="1" x14ac:dyDescent="0.2">
      <c r="B113" s="233" t="s">
        <v>206</v>
      </c>
      <c r="C113" s="234"/>
      <c r="D113" s="49"/>
      <c r="E113" s="49"/>
      <c r="F113" s="49"/>
      <c r="G113" s="49"/>
      <c r="H113" s="49"/>
      <c r="I113" s="49"/>
      <c r="J113" s="49"/>
      <c r="L113" s="233" t="s">
        <v>206</v>
      </c>
      <c r="M113" s="234"/>
      <c r="N113" s="49">
        <f>N110-N111-N112</f>
        <v>-18230</v>
      </c>
      <c r="O113" s="49">
        <f>O110-O111-O112</f>
        <v>-16862</v>
      </c>
      <c r="P113" s="49">
        <f>P110-P111-P112</f>
        <v>-27832</v>
      </c>
      <c r="Q113" s="49">
        <f>Q110-Q111-Q112</f>
        <v>2446</v>
      </c>
      <c r="R113" s="49">
        <f t="shared" si="74"/>
        <v>-60478</v>
      </c>
      <c r="S113" s="49">
        <f>S110-S111-S112</f>
        <v>-60478</v>
      </c>
      <c r="T113" s="49">
        <f t="shared" si="73"/>
        <v>-120956</v>
      </c>
    </row>
    <row r="114" spans="2:20" ht="11.1" customHeight="1" x14ac:dyDescent="0.2">
      <c r="B114" s="235" t="s">
        <v>207</v>
      </c>
      <c r="C114" s="236"/>
      <c r="D114" s="52"/>
      <c r="E114" s="52"/>
      <c r="F114" s="52"/>
      <c r="G114" s="52"/>
      <c r="H114" s="52"/>
      <c r="I114" s="52"/>
      <c r="J114" s="52"/>
      <c r="L114" s="235" t="s">
        <v>207</v>
      </c>
      <c r="M114" s="236"/>
      <c r="N114" s="52">
        <f t="shared" ref="N114:Q116" si="76">D114-D84</f>
        <v>798</v>
      </c>
      <c r="O114" s="52">
        <f t="shared" si="76"/>
        <v>-1797</v>
      </c>
      <c r="P114" s="52">
        <f t="shared" si="76"/>
        <v>2042</v>
      </c>
      <c r="Q114" s="52">
        <f t="shared" si="76"/>
        <v>0</v>
      </c>
      <c r="R114" s="52">
        <f t="shared" si="74"/>
        <v>1043</v>
      </c>
      <c r="S114" s="52">
        <f>I114-H84</f>
        <v>1043</v>
      </c>
      <c r="T114" s="52">
        <f t="shared" si="73"/>
        <v>2086</v>
      </c>
    </row>
    <row r="115" spans="2:20" ht="11.1" customHeight="1" x14ac:dyDescent="0.2">
      <c r="B115" s="237" t="s">
        <v>208</v>
      </c>
      <c r="C115" s="250"/>
      <c r="D115" s="52"/>
      <c r="E115" s="52"/>
      <c r="F115" s="52"/>
      <c r="G115" s="52"/>
      <c r="H115" s="52"/>
      <c r="I115" s="52"/>
      <c r="J115" s="52"/>
      <c r="L115" s="237" t="s">
        <v>208</v>
      </c>
      <c r="M115" s="250"/>
      <c r="N115" s="52">
        <f t="shared" si="76"/>
        <v>0</v>
      </c>
      <c r="O115" s="52">
        <f t="shared" si="76"/>
        <v>0</v>
      </c>
      <c r="P115" s="52">
        <f t="shared" si="76"/>
        <v>-1166</v>
      </c>
      <c r="Q115" s="52">
        <f t="shared" si="76"/>
        <v>0</v>
      </c>
      <c r="R115" s="52">
        <f t="shared" si="74"/>
        <v>-1166</v>
      </c>
      <c r="S115" s="52">
        <f>I115-H85</f>
        <v>-1166</v>
      </c>
      <c r="T115" s="52">
        <f t="shared" si="73"/>
        <v>-2332</v>
      </c>
    </row>
    <row r="116" spans="2:20" ht="11.1" customHeight="1" x14ac:dyDescent="0.2">
      <c r="B116" s="237" t="s">
        <v>27</v>
      </c>
      <c r="C116" s="250"/>
      <c r="D116" s="52"/>
      <c r="E116" s="52"/>
      <c r="F116" s="52"/>
      <c r="G116" s="52"/>
      <c r="H116" s="52"/>
      <c r="I116" s="52"/>
      <c r="J116" s="52"/>
      <c r="L116" s="237" t="s">
        <v>27</v>
      </c>
      <c r="M116" s="250"/>
      <c r="N116" s="52">
        <f t="shared" si="76"/>
        <v>0</v>
      </c>
      <c r="O116" s="52">
        <f t="shared" si="76"/>
        <v>0</v>
      </c>
      <c r="P116" s="52">
        <f t="shared" si="76"/>
        <v>0</v>
      </c>
      <c r="Q116" s="52">
        <f t="shared" si="76"/>
        <v>0</v>
      </c>
      <c r="R116" s="52">
        <f t="shared" si="74"/>
        <v>0</v>
      </c>
      <c r="S116" s="52">
        <f>I116-H86</f>
        <v>0</v>
      </c>
      <c r="T116" s="52">
        <f t="shared" si="73"/>
        <v>0</v>
      </c>
    </row>
    <row r="117" spans="2:20" ht="11.1" customHeight="1" x14ac:dyDescent="0.2">
      <c r="B117" s="233" t="s">
        <v>209</v>
      </c>
      <c r="C117" s="234"/>
      <c r="D117" s="49"/>
      <c r="E117" s="49"/>
      <c r="F117" s="49"/>
      <c r="G117" s="49"/>
      <c r="H117" s="49"/>
      <c r="I117" s="49"/>
      <c r="J117" s="49"/>
      <c r="L117" s="233" t="s">
        <v>209</v>
      </c>
      <c r="M117" s="234"/>
      <c r="N117" s="49">
        <f t="shared" ref="N117:Q117" si="77">N113+N114+N115+N116</f>
        <v>-17432</v>
      </c>
      <c r="O117" s="49">
        <f t="shared" si="77"/>
        <v>-18659</v>
      </c>
      <c r="P117" s="49">
        <f t="shared" si="77"/>
        <v>-26956</v>
      </c>
      <c r="Q117" s="49">
        <f t="shared" si="77"/>
        <v>2446</v>
      </c>
      <c r="R117" s="49">
        <f t="shared" si="74"/>
        <v>-60601</v>
      </c>
      <c r="S117" s="49">
        <f>S113+S114+S116</f>
        <v>-59435</v>
      </c>
      <c r="T117" s="49">
        <f t="shared" si="73"/>
        <v>-120036</v>
      </c>
    </row>
    <row r="118" spans="2:20" ht="11.1" customHeight="1" x14ac:dyDescent="0.2">
      <c r="B118" s="77" t="s">
        <v>22</v>
      </c>
      <c r="C118" s="78"/>
      <c r="D118" s="49"/>
      <c r="E118" s="49"/>
      <c r="F118" s="49"/>
      <c r="G118" s="49"/>
      <c r="H118" s="49"/>
      <c r="I118" s="49"/>
      <c r="J118" s="49"/>
      <c r="L118" s="77" t="s">
        <v>22</v>
      </c>
      <c r="M118" s="78"/>
      <c r="N118" s="49">
        <f>D118-D88</f>
        <v>-18524</v>
      </c>
      <c r="O118" s="49">
        <f>E118-E88</f>
        <v>-11697</v>
      </c>
      <c r="P118" s="49">
        <f>F118-F88</f>
        <v>-6811</v>
      </c>
      <c r="Q118" s="49">
        <f>G118-G88</f>
        <v>0</v>
      </c>
      <c r="R118" s="49">
        <f t="shared" si="74"/>
        <v>-37032</v>
      </c>
      <c r="S118" s="49">
        <f>I118-H88</f>
        <v>-37032</v>
      </c>
      <c r="T118" s="49">
        <f t="shared" si="73"/>
        <v>-74064</v>
      </c>
    </row>
    <row r="119" spans="2:20" ht="11.1" customHeight="1" x14ac:dyDescent="0.2">
      <c r="B119" s="233" t="s">
        <v>23</v>
      </c>
      <c r="C119" s="234"/>
      <c r="D119" s="49"/>
      <c r="E119" s="49"/>
      <c r="F119" s="49"/>
      <c r="G119" s="49"/>
      <c r="H119" s="49"/>
      <c r="I119" s="49"/>
      <c r="J119" s="49"/>
      <c r="L119" s="233" t="s">
        <v>23</v>
      </c>
      <c r="M119" s="234"/>
      <c r="N119" s="49">
        <f>N117+N118</f>
        <v>-35956</v>
      </c>
      <c r="O119" s="49">
        <f t="shared" ref="O119:Q119" si="78">O117+O118</f>
        <v>-30356</v>
      </c>
      <c r="P119" s="49">
        <f t="shared" si="78"/>
        <v>-33767</v>
      </c>
      <c r="Q119" s="49">
        <f t="shared" si="78"/>
        <v>2446</v>
      </c>
      <c r="R119" s="49">
        <f t="shared" si="74"/>
        <v>-97633</v>
      </c>
      <c r="S119" s="49">
        <f>S117+S118</f>
        <v>-96467</v>
      </c>
      <c r="T119" s="49">
        <f t="shared" si="73"/>
        <v>-194100</v>
      </c>
    </row>
  </sheetData>
  <mergeCells count="256">
    <mergeCell ref="T2:T3"/>
    <mergeCell ref="B4:G4"/>
    <mergeCell ref="L4:Q4"/>
    <mergeCell ref="I2:I3"/>
    <mergeCell ref="J2:J3"/>
    <mergeCell ref="L2:M3"/>
    <mergeCell ref="N2:N3"/>
    <mergeCell ref="O2:O3"/>
    <mergeCell ref="P2:P3"/>
    <mergeCell ref="B2:C3"/>
    <mergeCell ref="D2:D3"/>
    <mergeCell ref="E2:E3"/>
    <mergeCell ref="F2:F3"/>
    <mergeCell ref="G2:G3"/>
    <mergeCell ref="H2:H3"/>
    <mergeCell ref="B5:C5"/>
    <mergeCell ref="L5:M5"/>
    <mergeCell ref="B6:C6"/>
    <mergeCell ref="L6:M6"/>
    <mergeCell ref="B7:C7"/>
    <mergeCell ref="L7:M7"/>
    <mergeCell ref="Q2:Q3"/>
    <mergeCell ref="R2:R3"/>
    <mergeCell ref="S2:S3"/>
    <mergeCell ref="B11:C11"/>
    <mergeCell ref="L11:M11"/>
    <mergeCell ref="B12:C12"/>
    <mergeCell ref="L12:M12"/>
    <mergeCell ref="B13:C13"/>
    <mergeCell ref="L13:M13"/>
    <mergeCell ref="B8:C8"/>
    <mergeCell ref="L8:M8"/>
    <mergeCell ref="B9:C9"/>
    <mergeCell ref="L9:M9"/>
    <mergeCell ref="B10:C10"/>
    <mergeCell ref="L10:M10"/>
    <mergeCell ref="B18:C18"/>
    <mergeCell ref="L18:M18"/>
    <mergeCell ref="B19:C19"/>
    <mergeCell ref="L19:M19"/>
    <mergeCell ref="B20:C20"/>
    <mergeCell ref="L20:M20"/>
    <mergeCell ref="B14:C14"/>
    <mergeCell ref="L14:M14"/>
    <mergeCell ref="B16:C16"/>
    <mergeCell ref="L16:M16"/>
    <mergeCell ref="B17:G17"/>
    <mergeCell ref="L17:Q17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27:C27"/>
    <mergeCell ref="L27:M27"/>
    <mergeCell ref="B29:C29"/>
    <mergeCell ref="L29:M29"/>
    <mergeCell ref="B32:C33"/>
    <mergeCell ref="D32:D33"/>
    <mergeCell ref="E32:E33"/>
    <mergeCell ref="F32:F33"/>
    <mergeCell ref="G32:G33"/>
    <mergeCell ref="H32:H33"/>
    <mergeCell ref="T32:T33"/>
    <mergeCell ref="B34:G34"/>
    <mergeCell ref="L34:Q34"/>
    <mergeCell ref="I32:I33"/>
    <mergeCell ref="J32:J33"/>
    <mergeCell ref="L32:M33"/>
    <mergeCell ref="N32:N33"/>
    <mergeCell ref="O32:O33"/>
    <mergeCell ref="P32:P33"/>
    <mergeCell ref="B35:C35"/>
    <mergeCell ref="L35:M35"/>
    <mergeCell ref="B36:C36"/>
    <mergeCell ref="L36:M36"/>
    <mergeCell ref="B37:C37"/>
    <mergeCell ref="L37:M37"/>
    <mergeCell ref="Q32:Q33"/>
    <mergeCell ref="R32:R33"/>
    <mergeCell ref="S32:S33"/>
    <mergeCell ref="B41:C41"/>
    <mergeCell ref="L41:M41"/>
    <mergeCell ref="B42:C42"/>
    <mergeCell ref="L42:M42"/>
    <mergeCell ref="B43:C43"/>
    <mergeCell ref="L43:M43"/>
    <mergeCell ref="B38:C38"/>
    <mergeCell ref="L38:M38"/>
    <mergeCell ref="B39:C39"/>
    <mergeCell ref="L39:M39"/>
    <mergeCell ref="B40:C40"/>
    <mergeCell ref="L40:M40"/>
    <mergeCell ref="B48:C48"/>
    <mergeCell ref="L48:M48"/>
    <mergeCell ref="B49:C49"/>
    <mergeCell ref="L49:M49"/>
    <mergeCell ref="B50:C50"/>
    <mergeCell ref="L50:M50"/>
    <mergeCell ref="B44:C44"/>
    <mergeCell ref="L44:M44"/>
    <mergeCell ref="B46:C46"/>
    <mergeCell ref="L46:M46"/>
    <mergeCell ref="B47:G47"/>
    <mergeCell ref="L47:Q47"/>
    <mergeCell ref="B54:C54"/>
    <mergeCell ref="L54:M54"/>
    <mergeCell ref="B55:C55"/>
    <mergeCell ref="L55:M55"/>
    <mergeCell ref="B56:C56"/>
    <mergeCell ref="L56:M56"/>
    <mergeCell ref="B51:C51"/>
    <mergeCell ref="L51:M51"/>
    <mergeCell ref="B52:C52"/>
    <mergeCell ref="L52:M52"/>
    <mergeCell ref="B53:C53"/>
    <mergeCell ref="L53:M53"/>
    <mergeCell ref="B57:C57"/>
    <mergeCell ref="L57:M57"/>
    <mergeCell ref="B59:C59"/>
    <mergeCell ref="L59:M59"/>
    <mergeCell ref="B62:C63"/>
    <mergeCell ref="D62:D63"/>
    <mergeCell ref="E62:E63"/>
    <mergeCell ref="F62:F63"/>
    <mergeCell ref="G62:G63"/>
    <mergeCell ref="H62:H63"/>
    <mergeCell ref="T62:T63"/>
    <mergeCell ref="B64:G64"/>
    <mergeCell ref="L64:Q64"/>
    <mergeCell ref="I62:I63"/>
    <mergeCell ref="J62:J63"/>
    <mergeCell ref="L62:M63"/>
    <mergeCell ref="N62:N63"/>
    <mergeCell ref="O62:O63"/>
    <mergeCell ref="P62:P63"/>
    <mergeCell ref="B65:C65"/>
    <mergeCell ref="L65:M65"/>
    <mergeCell ref="B66:C66"/>
    <mergeCell ref="L66:M66"/>
    <mergeCell ref="B67:C67"/>
    <mergeCell ref="L67:M67"/>
    <mergeCell ref="Q62:Q63"/>
    <mergeCell ref="R62:R63"/>
    <mergeCell ref="S62:S63"/>
    <mergeCell ref="B71:C71"/>
    <mergeCell ref="L71:M71"/>
    <mergeCell ref="B72:C72"/>
    <mergeCell ref="L72:M72"/>
    <mergeCell ref="B73:C73"/>
    <mergeCell ref="L73:M73"/>
    <mergeCell ref="B68:C68"/>
    <mergeCell ref="L68:M68"/>
    <mergeCell ref="B69:C69"/>
    <mergeCell ref="L69:M69"/>
    <mergeCell ref="B70:C70"/>
    <mergeCell ref="L70:M70"/>
    <mergeCell ref="B78:C78"/>
    <mergeCell ref="L78:M78"/>
    <mergeCell ref="B79:C79"/>
    <mergeCell ref="L79:M79"/>
    <mergeCell ref="B80:C80"/>
    <mergeCell ref="L80:M80"/>
    <mergeCell ref="B74:C74"/>
    <mergeCell ref="L74:M74"/>
    <mergeCell ref="B76:C76"/>
    <mergeCell ref="L76:M76"/>
    <mergeCell ref="B77:G77"/>
    <mergeCell ref="L77:Q77"/>
    <mergeCell ref="B84:C84"/>
    <mergeCell ref="L84:M84"/>
    <mergeCell ref="B85:C85"/>
    <mergeCell ref="L85:M85"/>
    <mergeCell ref="B86:C86"/>
    <mergeCell ref="L86:M86"/>
    <mergeCell ref="B81:C81"/>
    <mergeCell ref="L81:M81"/>
    <mergeCell ref="B82:C82"/>
    <mergeCell ref="L82:M82"/>
    <mergeCell ref="B83:C83"/>
    <mergeCell ref="L83:M83"/>
    <mergeCell ref="B87:C87"/>
    <mergeCell ref="L87:M87"/>
    <mergeCell ref="B89:C89"/>
    <mergeCell ref="L89:M89"/>
    <mergeCell ref="B92:C93"/>
    <mergeCell ref="D92:D93"/>
    <mergeCell ref="E92:E93"/>
    <mergeCell ref="F92:F93"/>
    <mergeCell ref="G92:G93"/>
    <mergeCell ref="H92:H93"/>
    <mergeCell ref="Q92:Q93"/>
    <mergeCell ref="R92:R93"/>
    <mergeCell ref="S92:S93"/>
    <mergeCell ref="T92:T93"/>
    <mergeCell ref="B94:G94"/>
    <mergeCell ref="L94:Q94"/>
    <mergeCell ref="I92:I93"/>
    <mergeCell ref="J92:J93"/>
    <mergeCell ref="L92:M93"/>
    <mergeCell ref="N92:N93"/>
    <mergeCell ref="O92:O93"/>
    <mergeCell ref="P92:P93"/>
    <mergeCell ref="B98:C98"/>
    <mergeCell ref="L98:M98"/>
    <mergeCell ref="B99:C99"/>
    <mergeCell ref="L99:M99"/>
    <mergeCell ref="B100:C100"/>
    <mergeCell ref="L100:M100"/>
    <mergeCell ref="B95:C95"/>
    <mergeCell ref="L95:M95"/>
    <mergeCell ref="B96:C96"/>
    <mergeCell ref="L96:M96"/>
    <mergeCell ref="B97:C97"/>
    <mergeCell ref="L97:M97"/>
    <mergeCell ref="B104:C104"/>
    <mergeCell ref="L104:M104"/>
    <mergeCell ref="B106:C106"/>
    <mergeCell ref="L106:M106"/>
    <mergeCell ref="B107:G107"/>
    <mergeCell ref="L107:Q107"/>
    <mergeCell ref="B101:C101"/>
    <mergeCell ref="L101:M101"/>
    <mergeCell ref="B102:C102"/>
    <mergeCell ref="L102:M102"/>
    <mergeCell ref="B103:C103"/>
    <mergeCell ref="L103:M103"/>
    <mergeCell ref="B111:C111"/>
    <mergeCell ref="L111:M111"/>
    <mergeCell ref="B112:C112"/>
    <mergeCell ref="L112:M112"/>
    <mergeCell ref="B113:C113"/>
    <mergeCell ref="L113:M113"/>
    <mergeCell ref="B108:C108"/>
    <mergeCell ref="L108:M108"/>
    <mergeCell ref="B109:C109"/>
    <mergeCell ref="L109:M109"/>
    <mergeCell ref="B110:C110"/>
    <mergeCell ref="L110:M110"/>
    <mergeCell ref="B117:C117"/>
    <mergeCell ref="L117:M117"/>
    <mergeCell ref="B119:C119"/>
    <mergeCell ref="L119:M119"/>
    <mergeCell ref="B114:C114"/>
    <mergeCell ref="L114:M114"/>
    <mergeCell ref="B115:C115"/>
    <mergeCell ref="L115:M115"/>
    <mergeCell ref="B116:C116"/>
    <mergeCell ref="L116:M116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8EB8F-C85C-4ECD-B8A8-A9C543278614}">
  <sheetPr>
    <tabColor theme="0" tint="-0.34998626667073579"/>
  </sheetPr>
  <dimension ref="B1:T70"/>
  <sheetViews>
    <sheetView zoomScaleNormal="100" zoomScaleSheetLayoutView="100" workbookViewId="0">
      <pane xSplit="3" ySplit="1" topLeftCell="D17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B29" sqref="B29:C29"/>
    </sheetView>
  </sheetViews>
  <sheetFormatPr defaultColWidth="9.140625" defaultRowHeight="11.1" customHeight="1" outlineLevelRow="1" outlineLevelCol="1" x14ac:dyDescent="0.2"/>
  <cols>
    <col min="1" max="1" width="3.7109375" style="46" customWidth="1"/>
    <col min="2" max="2" width="2.5703125" style="47" customWidth="1" outlineLevel="1"/>
    <col min="3" max="3" width="54.85546875" style="54" customWidth="1" outlineLevel="1"/>
    <col min="4" max="6" width="10.7109375" style="46" customWidth="1" outlineLevel="1"/>
    <col min="7" max="7" width="16" style="46" customWidth="1" outlineLevel="1"/>
    <col min="8" max="8" width="10" style="46" customWidth="1" outlineLevel="1"/>
    <col min="9" max="9" width="10.7109375" style="46" customWidth="1" outlineLevel="1"/>
    <col min="10" max="10" width="13" style="46" customWidth="1" outlineLevel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ht="11.1" customHeight="1" x14ac:dyDescent="0.2">
      <c r="B1" s="48"/>
      <c r="C1" s="72"/>
      <c r="D1" s="48"/>
      <c r="E1" s="48"/>
      <c r="F1" s="48"/>
      <c r="G1" s="48"/>
      <c r="H1" s="48"/>
      <c r="I1" s="48"/>
      <c r="J1" s="48"/>
      <c r="K1" s="47"/>
      <c r="L1" s="48"/>
      <c r="M1" s="72"/>
      <c r="N1" s="48"/>
      <c r="O1" s="48"/>
      <c r="P1" s="48"/>
      <c r="Q1" s="48"/>
      <c r="R1" s="48"/>
      <c r="S1" s="48"/>
      <c r="T1" s="48"/>
    </row>
    <row r="2" spans="2:20" ht="11.1" customHeight="1" x14ac:dyDescent="0.2">
      <c r="B2" s="97" t="s">
        <v>234</v>
      </c>
      <c r="C2" s="72"/>
      <c r="D2" s="48"/>
      <c r="E2" s="48"/>
      <c r="F2" s="48"/>
      <c r="G2" s="48"/>
      <c r="H2" s="48"/>
      <c r="I2" s="48"/>
      <c r="J2" s="48"/>
      <c r="K2" s="47"/>
      <c r="L2" s="97" t="s">
        <v>234</v>
      </c>
      <c r="M2" s="72"/>
      <c r="N2" s="48"/>
      <c r="O2" s="48"/>
      <c r="P2" s="48"/>
      <c r="Q2" s="48"/>
      <c r="R2" s="48"/>
      <c r="S2" s="48"/>
      <c r="T2" s="48"/>
    </row>
    <row r="3" spans="2:20" ht="11.1" customHeight="1" x14ac:dyDescent="0.2">
      <c r="B3" s="244" t="s">
        <v>59</v>
      </c>
      <c r="C3" s="253"/>
      <c r="D3" s="241" t="s">
        <v>196</v>
      </c>
      <c r="E3" s="241" t="s">
        <v>197</v>
      </c>
      <c r="F3" s="241" t="s">
        <v>198</v>
      </c>
      <c r="G3" s="241" t="s">
        <v>199</v>
      </c>
      <c r="H3" s="241" t="s">
        <v>200</v>
      </c>
      <c r="I3" s="241" t="s">
        <v>201</v>
      </c>
      <c r="J3" s="241" t="s">
        <v>202</v>
      </c>
      <c r="K3" s="47"/>
      <c r="L3" s="244" t="s">
        <v>59</v>
      </c>
      <c r="M3" s="253"/>
      <c r="N3" s="241" t="s">
        <v>196</v>
      </c>
      <c r="O3" s="241" t="s">
        <v>197</v>
      </c>
      <c r="P3" s="241" t="s">
        <v>198</v>
      </c>
      <c r="Q3" s="241" t="s">
        <v>199</v>
      </c>
      <c r="R3" s="241" t="s">
        <v>200</v>
      </c>
      <c r="S3" s="241" t="s">
        <v>201</v>
      </c>
      <c r="T3" s="241" t="s">
        <v>202</v>
      </c>
    </row>
    <row r="4" spans="2:20" ht="11.1" customHeight="1" x14ac:dyDescent="0.2">
      <c r="B4" s="254"/>
      <c r="C4" s="255"/>
      <c r="D4" s="242"/>
      <c r="E4" s="242"/>
      <c r="F4" s="242"/>
      <c r="G4" s="242"/>
      <c r="H4" s="242"/>
      <c r="I4" s="242"/>
      <c r="J4" s="242"/>
      <c r="K4" s="47"/>
      <c r="L4" s="254"/>
      <c r="M4" s="255"/>
      <c r="N4" s="242"/>
      <c r="O4" s="242"/>
      <c r="P4" s="242"/>
      <c r="Q4" s="242"/>
      <c r="R4" s="242"/>
      <c r="S4" s="242"/>
      <c r="T4" s="242"/>
    </row>
    <row r="5" spans="2:20" ht="11.1" customHeight="1" x14ac:dyDescent="0.2">
      <c r="B5" s="248" t="s">
        <v>223</v>
      </c>
      <c r="C5" s="249"/>
      <c r="D5" s="249"/>
      <c r="E5" s="249"/>
      <c r="F5" s="249"/>
      <c r="G5" s="249"/>
      <c r="H5" s="73"/>
      <c r="I5" s="73"/>
      <c r="J5" s="74"/>
      <c r="K5" s="47"/>
      <c r="L5" s="248" t="s">
        <v>223</v>
      </c>
      <c r="M5" s="249"/>
      <c r="N5" s="249"/>
      <c r="O5" s="249"/>
      <c r="P5" s="249"/>
      <c r="Q5" s="249"/>
      <c r="R5" s="73"/>
      <c r="S5" s="73"/>
      <c r="T5" s="74"/>
    </row>
    <row r="6" spans="2:20" ht="11.1" customHeight="1" x14ac:dyDescent="0.2">
      <c r="B6" s="251" t="s">
        <v>204</v>
      </c>
      <c r="C6" s="252"/>
      <c r="D6" s="52">
        <v>83961</v>
      </c>
      <c r="E6" s="52">
        <v>80276</v>
      </c>
      <c r="F6" s="52">
        <v>60299</v>
      </c>
      <c r="G6" s="52"/>
      <c r="H6" s="52">
        <f>SUM(D6:G6)</f>
        <v>224536</v>
      </c>
      <c r="I6" s="52"/>
      <c r="J6" s="52">
        <f t="shared" ref="J6:J17" si="0">H6+I6</f>
        <v>224536</v>
      </c>
      <c r="K6" s="47"/>
      <c r="L6" s="251" t="s">
        <v>204</v>
      </c>
      <c r="M6" s="252"/>
      <c r="N6" s="52">
        <v>83961</v>
      </c>
      <c r="O6" s="52">
        <v>80276</v>
      </c>
      <c r="P6" s="52">
        <v>60299</v>
      </c>
      <c r="Q6" s="52"/>
      <c r="R6" s="52">
        <f>SUM(N6:Q6)</f>
        <v>224536</v>
      </c>
      <c r="S6" s="52"/>
      <c r="T6" s="52">
        <f t="shared" ref="T6:T17" si="1">R6+S6</f>
        <v>224536</v>
      </c>
    </row>
    <row r="7" spans="2:20" ht="11.1" customHeight="1" x14ac:dyDescent="0.2">
      <c r="B7" s="251" t="s">
        <v>33</v>
      </c>
      <c r="C7" s="252"/>
      <c r="D7" s="52">
        <v>61397</v>
      </c>
      <c r="E7" s="52">
        <v>59860</v>
      </c>
      <c r="F7" s="52">
        <v>40261</v>
      </c>
      <c r="G7" s="52"/>
      <c r="H7" s="52">
        <f t="shared" ref="H7:H17" si="2">SUM(D7:G7)</f>
        <v>161518</v>
      </c>
      <c r="I7" s="52"/>
      <c r="J7" s="52">
        <f t="shared" si="0"/>
        <v>161518</v>
      </c>
      <c r="K7" s="47"/>
      <c r="L7" s="251" t="s">
        <v>33</v>
      </c>
      <c r="M7" s="252"/>
      <c r="N7" s="52">
        <v>61397</v>
      </c>
      <c r="O7" s="52">
        <v>59860</v>
      </c>
      <c r="P7" s="52">
        <v>40261</v>
      </c>
      <c r="Q7" s="52"/>
      <c r="R7" s="52">
        <f t="shared" ref="R7:R17" si="3">SUM(N7:Q7)</f>
        <v>161518</v>
      </c>
      <c r="S7" s="52"/>
      <c r="T7" s="52">
        <f t="shared" si="1"/>
        <v>161518</v>
      </c>
    </row>
    <row r="8" spans="2:20" ht="11.1" customHeight="1" x14ac:dyDescent="0.2">
      <c r="B8" s="233" t="s">
        <v>205</v>
      </c>
      <c r="C8" s="234"/>
      <c r="D8" s="49">
        <f>D6-D7</f>
        <v>22564</v>
      </c>
      <c r="E8" s="49">
        <f>E6-E7</f>
        <v>20416</v>
      </c>
      <c r="F8" s="49">
        <f>F6-F7</f>
        <v>20038</v>
      </c>
      <c r="G8" s="49">
        <f>G6-G7</f>
        <v>0</v>
      </c>
      <c r="H8" s="49">
        <f t="shared" si="2"/>
        <v>63018</v>
      </c>
      <c r="I8" s="49">
        <f>I6-I7</f>
        <v>0</v>
      </c>
      <c r="J8" s="49">
        <f t="shared" si="0"/>
        <v>63018</v>
      </c>
      <c r="K8" s="47"/>
      <c r="L8" s="233" t="s">
        <v>205</v>
      </c>
      <c r="M8" s="234"/>
      <c r="N8" s="49">
        <f>N6-N7</f>
        <v>22564</v>
      </c>
      <c r="O8" s="49">
        <f>O6-O7</f>
        <v>20416</v>
      </c>
      <c r="P8" s="49">
        <f>P6-P7</f>
        <v>20038</v>
      </c>
      <c r="Q8" s="49">
        <f>Q6-Q7</f>
        <v>0</v>
      </c>
      <c r="R8" s="49">
        <f t="shared" si="3"/>
        <v>63018</v>
      </c>
      <c r="S8" s="49">
        <f>S6-S7</f>
        <v>0</v>
      </c>
      <c r="T8" s="49">
        <f t="shared" si="1"/>
        <v>63018</v>
      </c>
    </row>
    <row r="9" spans="2:20" ht="11.1" customHeight="1" x14ac:dyDescent="0.2">
      <c r="B9" s="235" t="s">
        <v>4</v>
      </c>
      <c r="C9" s="236"/>
      <c r="D9" s="52">
        <v>3695</v>
      </c>
      <c r="E9" s="52">
        <v>1614</v>
      </c>
      <c r="F9" s="52">
        <v>3562</v>
      </c>
      <c r="G9" s="52">
        <v>172</v>
      </c>
      <c r="H9" s="52">
        <f t="shared" si="2"/>
        <v>9043</v>
      </c>
      <c r="I9" s="52"/>
      <c r="J9" s="52">
        <f t="shared" si="0"/>
        <v>9043</v>
      </c>
      <c r="K9" s="47"/>
      <c r="L9" s="235" t="s">
        <v>4</v>
      </c>
      <c r="M9" s="236"/>
      <c r="N9" s="52">
        <v>3695</v>
      </c>
      <c r="O9" s="52">
        <v>1614</v>
      </c>
      <c r="P9" s="52">
        <v>3562</v>
      </c>
      <c r="Q9" s="52">
        <v>172</v>
      </c>
      <c r="R9" s="52">
        <f t="shared" si="3"/>
        <v>9043</v>
      </c>
      <c r="S9" s="52"/>
      <c r="T9" s="52">
        <f t="shared" si="1"/>
        <v>9043</v>
      </c>
    </row>
    <row r="10" spans="2:20" ht="11.1" customHeight="1" x14ac:dyDescent="0.2">
      <c r="B10" s="235" t="s">
        <v>5</v>
      </c>
      <c r="C10" s="236"/>
      <c r="D10" s="52">
        <v>13736</v>
      </c>
      <c r="E10" s="52">
        <v>7516</v>
      </c>
      <c r="F10" s="52">
        <v>10095</v>
      </c>
      <c r="G10" s="52">
        <v>1054</v>
      </c>
      <c r="H10" s="52">
        <f t="shared" si="2"/>
        <v>32401</v>
      </c>
      <c r="I10" s="52"/>
      <c r="J10" s="52">
        <f t="shared" si="0"/>
        <v>32401</v>
      </c>
      <c r="K10" s="47"/>
      <c r="L10" s="235" t="s">
        <v>5</v>
      </c>
      <c r="M10" s="236"/>
      <c r="N10" s="52">
        <v>13736</v>
      </c>
      <c r="O10" s="52">
        <v>7516</v>
      </c>
      <c r="P10" s="52">
        <v>10095</v>
      </c>
      <c r="Q10" s="52">
        <v>1054</v>
      </c>
      <c r="R10" s="52">
        <f t="shared" si="3"/>
        <v>32401</v>
      </c>
      <c r="S10" s="52"/>
      <c r="T10" s="52">
        <f t="shared" si="1"/>
        <v>32401</v>
      </c>
    </row>
    <row r="11" spans="2:20" ht="11.1" customHeight="1" x14ac:dyDescent="0.2">
      <c r="B11" s="233" t="s">
        <v>206</v>
      </c>
      <c r="C11" s="234"/>
      <c r="D11" s="49">
        <f>D8-D9-D10</f>
        <v>5133</v>
      </c>
      <c r="E11" s="49">
        <f>E8-E9-E10</f>
        <v>11286</v>
      </c>
      <c r="F11" s="49">
        <f>F8-F9-F10</f>
        <v>6381</v>
      </c>
      <c r="G11" s="49">
        <f>G8-G9-G10</f>
        <v>-1226</v>
      </c>
      <c r="H11" s="49">
        <f t="shared" si="2"/>
        <v>21574</v>
      </c>
      <c r="I11" s="49">
        <f>I8-I9-I10</f>
        <v>0</v>
      </c>
      <c r="J11" s="49">
        <f t="shared" si="0"/>
        <v>21574</v>
      </c>
      <c r="K11" s="47"/>
      <c r="L11" s="233" t="s">
        <v>206</v>
      </c>
      <c r="M11" s="234"/>
      <c r="N11" s="49">
        <f>N8-N9-N10</f>
        <v>5133</v>
      </c>
      <c r="O11" s="49">
        <f>O8-O9-O10</f>
        <v>11286</v>
      </c>
      <c r="P11" s="49">
        <f>P8-P9-P10</f>
        <v>6381</v>
      </c>
      <c r="Q11" s="49">
        <f>Q8-Q9-Q10</f>
        <v>-1226</v>
      </c>
      <c r="R11" s="49">
        <f t="shared" si="3"/>
        <v>21574</v>
      </c>
      <c r="S11" s="49">
        <f>S8-S9-S10</f>
        <v>0</v>
      </c>
      <c r="T11" s="49">
        <f t="shared" si="1"/>
        <v>21574</v>
      </c>
    </row>
    <row r="12" spans="2:20" ht="11.1" customHeight="1" x14ac:dyDescent="0.2">
      <c r="B12" s="235" t="s">
        <v>207</v>
      </c>
      <c r="C12" s="236"/>
      <c r="D12" s="52">
        <v>169</v>
      </c>
      <c r="E12" s="52">
        <v>-133</v>
      </c>
      <c r="F12" s="52">
        <v>-1220</v>
      </c>
      <c r="G12" s="52">
        <v>0</v>
      </c>
      <c r="H12" s="52">
        <f t="shared" si="2"/>
        <v>-1184</v>
      </c>
      <c r="I12" s="52">
        <v>0</v>
      </c>
      <c r="J12" s="52">
        <f t="shared" si="0"/>
        <v>-1184</v>
      </c>
      <c r="K12" s="47"/>
      <c r="L12" s="235" t="s">
        <v>207</v>
      </c>
      <c r="M12" s="236"/>
      <c r="N12" s="52">
        <v>169</v>
      </c>
      <c r="O12" s="52">
        <v>-133</v>
      </c>
      <c r="P12" s="52">
        <v>-1220</v>
      </c>
      <c r="Q12" s="52">
        <v>0</v>
      </c>
      <c r="R12" s="52">
        <f t="shared" si="3"/>
        <v>-1184</v>
      </c>
      <c r="S12" s="52">
        <v>0</v>
      </c>
      <c r="T12" s="52">
        <f t="shared" si="1"/>
        <v>-1184</v>
      </c>
    </row>
    <row r="13" spans="2:20" ht="11.1" customHeight="1" x14ac:dyDescent="0.2">
      <c r="B13" s="237" t="s">
        <v>208</v>
      </c>
      <c r="C13" s="250"/>
      <c r="D13" s="52">
        <v>0</v>
      </c>
      <c r="E13" s="52">
        <v>0</v>
      </c>
      <c r="F13" s="52">
        <v>-6</v>
      </c>
      <c r="G13" s="52">
        <v>0</v>
      </c>
      <c r="H13" s="52">
        <f t="shared" si="2"/>
        <v>-6</v>
      </c>
      <c r="I13" s="52"/>
      <c r="J13" s="52">
        <f t="shared" si="0"/>
        <v>-6</v>
      </c>
      <c r="K13" s="47"/>
      <c r="L13" s="237" t="s">
        <v>208</v>
      </c>
      <c r="M13" s="250"/>
      <c r="N13" s="52">
        <v>0</v>
      </c>
      <c r="O13" s="52">
        <v>0</v>
      </c>
      <c r="P13" s="52">
        <v>-6</v>
      </c>
      <c r="Q13" s="52">
        <v>0</v>
      </c>
      <c r="R13" s="52">
        <f t="shared" si="3"/>
        <v>-6</v>
      </c>
      <c r="S13" s="52"/>
      <c r="T13" s="52">
        <f t="shared" si="1"/>
        <v>-6</v>
      </c>
    </row>
    <row r="14" spans="2:20" ht="11.1" customHeight="1" x14ac:dyDescent="0.2">
      <c r="B14" s="237" t="s">
        <v>27</v>
      </c>
      <c r="C14" s="250"/>
      <c r="D14" s="52"/>
      <c r="E14" s="52"/>
      <c r="F14" s="52"/>
      <c r="G14" s="52"/>
      <c r="H14" s="52">
        <f t="shared" si="2"/>
        <v>0</v>
      </c>
      <c r="I14" s="52">
        <v>0</v>
      </c>
      <c r="J14" s="52">
        <f t="shared" si="0"/>
        <v>0</v>
      </c>
      <c r="K14" s="47"/>
      <c r="L14" s="237" t="s">
        <v>27</v>
      </c>
      <c r="M14" s="250"/>
      <c r="N14" s="52"/>
      <c r="O14" s="52"/>
      <c r="P14" s="52"/>
      <c r="Q14" s="52"/>
      <c r="R14" s="52">
        <f t="shared" si="3"/>
        <v>0</v>
      </c>
      <c r="S14" s="52">
        <v>0</v>
      </c>
      <c r="T14" s="52">
        <f t="shared" si="1"/>
        <v>0</v>
      </c>
    </row>
    <row r="15" spans="2:20" ht="11.1" customHeight="1" x14ac:dyDescent="0.2">
      <c r="B15" s="233" t="s">
        <v>209</v>
      </c>
      <c r="C15" s="234"/>
      <c r="D15" s="49">
        <f t="shared" ref="D15:G15" si="4">D11+D12+D13+D14</f>
        <v>5302</v>
      </c>
      <c r="E15" s="49">
        <f t="shared" si="4"/>
        <v>11153</v>
      </c>
      <c r="F15" s="49">
        <f t="shared" si="4"/>
        <v>5155</v>
      </c>
      <c r="G15" s="49">
        <f t="shared" si="4"/>
        <v>-1226</v>
      </c>
      <c r="H15" s="49">
        <f t="shared" si="2"/>
        <v>20384</v>
      </c>
      <c r="I15" s="49">
        <f>I11+I12+I14</f>
        <v>0</v>
      </c>
      <c r="J15" s="49">
        <f t="shared" si="0"/>
        <v>20384</v>
      </c>
      <c r="K15" s="47"/>
      <c r="L15" s="233" t="s">
        <v>209</v>
      </c>
      <c r="M15" s="234"/>
      <c r="N15" s="49">
        <f t="shared" ref="N15:Q15" si="5">N11+N12+N13+N14</f>
        <v>5302</v>
      </c>
      <c r="O15" s="49">
        <f t="shared" si="5"/>
        <v>11153</v>
      </c>
      <c r="P15" s="49">
        <f t="shared" si="5"/>
        <v>5155</v>
      </c>
      <c r="Q15" s="49">
        <f t="shared" si="5"/>
        <v>-1226</v>
      </c>
      <c r="R15" s="49">
        <f t="shared" si="3"/>
        <v>20384</v>
      </c>
      <c r="S15" s="49">
        <f>S11+S12+S14</f>
        <v>0</v>
      </c>
      <c r="T15" s="49">
        <f t="shared" si="1"/>
        <v>20384</v>
      </c>
    </row>
    <row r="16" spans="2:20" ht="11.1" customHeight="1" x14ac:dyDescent="0.2">
      <c r="B16" s="75" t="s">
        <v>22</v>
      </c>
      <c r="C16" s="76"/>
      <c r="D16" s="49">
        <v>6469</v>
      </c>
      <c r="E16" s="49">
        <v>3751</v>
      </c>
      <c r="F16" s="49">
        <v>2569</v>
      </c>
      <c r="G16" s="49">
        <v>0</v>
      </c>
      <c r="H16" s="49">
        <f t="shared" si="2"/>
        <v>12789</v>
      </c>
      <c r="I16" s="49">
        <v>0</v>
      </c>
      <c r="J16" s="49">
        <f t="shared" si="0"/>
        <v>12789</v>
      </c>
      <c r="K16" s="47"/>
      <c r="L16" s="75" t="s">
        <v>22</v>
      </c>
      <c r="M16" s="76"/>
      <c r="N16" s="49">
        <v>6469</v>
      </c>
      <c r="O16" s="49">
        <v>3751</v>
      </c>
      <c r="P16" s="49">
        <v>2569</v>
      </c>
      <c r="Q16" s="49">
        <v>0</v>
      </c>
      <c r="R16" s="49">
        <f t="shared" si="3"/>
        <v>12789</v>
      </c>
      <c r="S16" s="49">
        <v>0</v>
      </c>
      <c r="T16" s="49">
        <f t="shared" si="1"/>
        <v>12789</v>
      </c>
    </row>
    <row r="17" spans="2:20" ht="11.1" customHeight="1" x14ac:dyDescent="0.2">
      <c r="B17" s="233" t="s">
        <v>23</v>
      </c>
      <c r="C17" s="234"/>
      <c r="D17" s="49">
        <f>D15+D16</f>
        <v>11771</v>
      </c>
      <c r="E17" s="49">
        <f t="shared" ref="E17:G17" si="6">E15+E16</f>
        <v>14904</v>
      </c>
      <c r="F17" s="49">
        <f t="shared" si="6"/>
        <v>7724</v>
      </c>
      <c r="G17" s="49">
        <f t="shared" si="6"/>
        <v>-1226</v>
      </c>
      <c r="H17" s="49">
        <f t="shared" si="2"/>
        <v>33173</v>
      </c>
      <c r="I17" s="49">
        <f t="shared" ref="I17" si="7">I15+I16</f>
        <v>0</v>
      </c>
      <c r="J17" s="49">
        <f t="shared" si="0"/>
        <v>33173</v>
      </c>
      <c r="K17" s="47"/>
      <c r="L17" s="233" t="s">
        <v>23</v>
      </c>
      <c r="M17" s="234"/>
      <c r="N17" s="49">
        <f>N15+N16</f>
        <v>11771</v>
      </c>
      <c r="O17" s="49">
        <f t="shared" ref="O17:Q17" si="8">O15+O16</f>
        <v>14904</v>
      </c>
      <c r="P17" s="49">
        <f t="shared" si="8"/>
        <v>7724</v>
      </c>
      <c r="Q17" s="49">
        <f t="shared" si="8"/>
        <v>-1226</v>
      </c>
      <c r="R17" s="49">
        <f t="shared" si="3"/>
        <v>33173</v>
      </c>
      <c r="S17" s="49">
        <f t="shared" ref="S17" si="9">S15+S16</f>
        <v>0</v>
      </c>
      <c r="T17" s="49">
        <f t="shared" si="1"/>
        <v>33173</v>
      </c>
    </row>
    <row r="18" spans="2:20" s="47" customFormat="1" ht="11.1" customHeight="1" x14ac:dyDescent="0.2">
      <c r="B18" s="79"/>
      <c r="C18" s="80"/>
      <c r="D18" s="79"/>
      <c r="E18" s="79"/>
      <c r="F18" s="79"/>
      <c r="G18" s="79"/>
      <c r="H18" s="79"/>
      <c r="I18" s="79"/>
      <c r="J18" s="79"/>
      <c r="L18" s="79"/>
      <c r="M18" s="80"/>
      <c r="N18" s="79"/>
      <c r="O18" s="79"/>
      <c r="P18" s="79"/>
      <c r="Q18" s="79"/>
      <c r="R18" s="79"/>
      <c r="S18" s="79"/>
      <c r="T18" s="79"/>
    </row>
    <row r="19" spans="2:20" s="47" customFormat="1" ht="11.1" customHeight="1" x14ac:dyDescent="0.2">
      <c r="B19" s="48"/>
      <c r="C19" s="72"/>
      <c r="D19" s="48"/>
      <c r="E19" s="48"/>
      <c r="F19" s="48"/>
      <c r="G19" s="48"/>
      <c r="H19" s="48"/>
      <c r="I19" s="48"/>
      <c r="J19" s="48"/>
      <c r="L19" s="48"/>
      <c r="M19" s="72"/>
      <c r="N19" s="48"/>
      <c r="O19" s="48"/>
      <c r="P19" s="48"/>
      <c r="Q19" s="48"/>
      <c r="R19" s="48"/>
      <c r="S19" s="48"/>
      <c r="T19" s="48"/>
    </row>
    <row r="20" spans="2:20" s="47" customFormat="1" ht="11.1" customHeight="1" x14ac:dyDescent="0.2">
      <c r="B20" s="244" t="s">
        <v>59</v>
      </c>
      <c r="C20" s="253"/>
      <c r="D20" s="241" t="s">
        <v>196</v>
      </c>
      <c r="E20" s="241" t="s">
        <v>197</v>
      </c>
      <c r="F20" s="241" t="s">
        <v>198</v>
      </c>
      <c r="G20" s="241" t="s">
        <v>199</v>
      </c>
      <c r="H20" s="241" t="s">
        <v>200</v>
      </c>
      <c r="I20" s="241" t="s">
        <v>201</v>
      </c>
      <c r="J20" s="241" t="s">
        <v>202</v>
      </c>
      <c r="L20" s="244" t="s">
        <v>59</v>
      </c>
      <c r="M20" s="253"/>
      <c r="N20" s="241" t="s">
        <v>196</v>
      </c>
      <c r="O20" s="241" t="s">
        <v>197</v>
      </c>
      <c r="P20" s="241" t="s">
        <v>198</v>
      </c>
      <c r="Q20" s="241" t="s">
        <v>199</v>
      </c>
      <c r="R20" s="241" t="s">
        <v>200</v>
      </c>
      <c r="S20" s="241" t="s">
        <v>201</v>
      </c>
      <c r="T20" s="241" t="s">
        <v>202</v>
      </c>
    </row>
    <row r="21" spans="2:20" s="47" customFormat="1" ht="11.1" customHeight="1" x14ac:dyDescent="0.2">
      <c r="B21" s="254"/>
      <c r="C21" s="255"/>
      <c r="D21" s="242"/>
      <c r="E21" s="242"/>
      <c r="F21" s="242"/>
      <c r="G21" s="242"/>
      <c r="H21" s="242"/>
      <c r="I21" s="242"/>
      <c r="J21" s="242"/>
      <c r="L21" s="254"/>
      <c r="M21" s="255"/>
      <c r="N21" s="242"/>
      <c r="O21" s="242"/>
      <c r="P21" s="242"/>
      <c r="Q21" s="242"/>
      <c r="R21" s="242"/>
      <c r="S21" s="242"/>
      <c r="T21" s="242"/>
    </row>
    <row r="22" spans="2:20" s="47" customFormat="1" ht="11.1" customHeight="1" x14ac:dyDescent="0.2">
      <c r="B22" s="248" t="s">
        <v>224</v>
      </c>
      <c r="C22" s="249"/>
      <c r="D22" s="249"/>
      <c r="E22" s="249"/>
      <c r="F22" s="249"/>
      <c r="G22" s="249"/>
      <c r="H22" s="73"/>
      <c r="I22" s="73"/>
      <c r="J22" s="74"/>
      <c r="L22" s="248" t="s">
        <v>225</v>
      </c>
      <c r="M22" s="249"/>
      <c r="N22" s="249"/>
      <c r="O22" s="249"/>
      <c r="P22" s="249"/>
      <c r="Q22" s="249"/>
      <c r="R22" s="73"/>
      <c r="S22" s="73"/>
      <c r="T22" s="74"/>
    </row>
    <row r="23" spans="2:20" s="47" customFormat="1" ht="11.1" customHeight="1" x14ac:dyDescent="0.2">
      <c r="B23" s="251" t="s">
        <v>204</v>
      </c>
      <c r="C23" s="252"/>
      <c r="D23" s="86">
        <v>203582</v>
      </c>
      <c r="E23" s="86">
        <v>147533</v>
      </c>
      <c r="F23" s="86">
        <v>110829</v>
      </c>
      <c r="G23" s="86">
        <v>0</v>
      </c>
      <c r="H23" s="52">
        <f>SUM(D23:G23)</f>
        <v>461944</v>
      </c>
      <c r="I23" s="52"/>
      <c r="J23" s="52">
        <f t="shared" ref="J23:J34" si="10">H23+I23</f>
        <v>461944</v>
      </c>
      <c r="L23" s="251" t="s">
        <v>204</v>
      </c>
      <c r="M23" s="252"/>
      <c r="N23" s="86">
        <f t="shared" ref="N23:Q24" si="11">D23-D6</f>
        <v>119621</v>
      </c>
      <c r="O23" s="86">
        <f t="shared" si="11"/>
        <v>67257</v>
      </c>
      <c r="P23" s="86">
        <f t="shared" si="11"/>
        <v>50530</v>
      </c>
      <c r="Q23" s="86">
        <f t="shared" si="11"/>
        <v>0</v>
      </c>
      <c r="R23" s="52">
        <f>SUM(N23:Q23)</f>
        <v>237408</v>
      </c>
      <c r="S23" s="52">
        <f>I23-I6</f>
        <v>0</v>
      </c>
      <c r="T23" s="52">
        <f t="shared" ref="T23:T34" si="12">R23+S23</f>
        <v>237408</v>
      </c>
    </row>
    <row r="24" spans="2:20" s="47" customFormat="1" ht="11.1" customHeight="1" x14ac:dyDescent="0.2">
      <c r="B24" s="251" t="s">
        <v>33</v>
      </c>
      <c r="C24" s="252"/>
      <c r="D24" s="86">
        <v>155090</v>
      </c>
      <c r="E24" s="86">
        <v>109196</v>
      </c>
      <c r="F24" s="86">
        <v>73124</v>
      </c>
      <c r="G24" s="86">
        <v>0</v>
      </c>
      <c r="H24" s="52">
        <f t="shared" ref="H24:H34" si="13">SUM(D24:G24)</f>
        <v>337410</v>
      </c>
      <c r="I24" s="52"/>
      <c r="J24" s="52">
        <f t="shared" si="10"/>
        <v>337410</v>
      </c>
      <c r="L24" s="251" t="s">
        <v>33</v>
      </c>
      <c r="M24" s="252"/>
      <c r="N24" s="86">
        <f t="shared" si="11"/>
        <v>93693</v>
      </c>
      <c r="O24" s="86">
        <f t="shared" si="11"/>
        <v>49336</v>
      </c>
      <c r="P24" s="86">
        <f t="shared" si="11"/>
        <v>32863</v>
      </c>
      <c r="Q24" s="86">
        <f t="shared" si="11"/>
        <v>0</v>
      </c>
      <c r="R24" s="52">
        <f t="shared" ref="R24:R34" si="14">SUM(N24:Q24)</f>
        <v>175892</v>
      </c>
      <c r="S24" s="52">
        <f>I24-I7</f>
        <v>0</v>
      </c>
      <c r="T24" s="52">
        <f t="shared" si="12"/>
        <v>175892</v>
      </c>
    </row>
    <row r="25" spans="2:20" s="47" customFormat="1" ht="11.1" customHeight="1" x14ac:dyDescent="0.2">
      <c r="B25" s="233" t="s">
        <v>205</v>
      </c>
      <c r="C25" s="234"/>
      <c r="D25" s="87">
        <f>D23-D24</f>
        <v>48492</v>
      </c>
      <c r="E25" s="87">
        <f>E23-E24</f>
        <v>38337</v>
      </c>
      <c r="F25" s="87">
        <f>F23-F24</f>
        <v>37705</v>
      </c>
      <c r="G25" s="87">
        <f>G23-G24</f>
        <v>0</v>
      </c>
      <c r="H25" s="49">
        <f t="shared" si="13"/>
        <v>124534</v>
      </c>
      <c r="I25" s="49">
        <f>I23-I24</f>
        <v>0</v>
      </c>
      <c r="J25" s="49">
        <f t="shared" si="10"/>
        <v>124534</v>
      </c>
      <c r="L25" s="233" t="s">
        <v>205</v>
      </c>
      <c r="M25" s="234"/>
      <c r="N25" s="87">
        <f>N23-N24</f>
        <v>25928</v>
      </c>
      <c r="O25" s="87">
        <f>O23-O24</f>
        <v>17921</v>
      </c>
      <c r="P25" s="87">
        <f>P23-P24</f>
        <v>17667</v>
      </c>
      <c r="Q25" s="87">
        <f>Q23-Q24</f>
        <v>0</v>
      </c>
      <c r="R25" s="49">
        <f t="shared" si="14"/>
        <v>61516</v>
      </c>
      <c r="S25" s="49">
        <f>S23-S24</f>
        <v>0</v>
      </c>
      <c r="T25" s="49">
        <f t="shared" si="12"/>
        <v>61516</v>
      </c>
    </row>
    <row r="26" spans="2:20" s="47" customFormat="1" ht="11.1" customHeight="1" x14ac:dyDescent="0.2">
      <c r="B26" s="235" t="s">
        <v>4</v>
      </c>
      <c r="C26" s="236"/>
      <c r="D26" s="86">
        <v>7134</v>
      </c>
      <c r="E26" s="86">
        <v>3280</v>
      </c>
      <c r="F26" s="86">
        <v>6254</v>
      </c>
      <c r="G26" s="86">
        <v>255</v>
      </c>
      <c r="H26" s="52">
        <f t="shared" si="13"/>
        <v>16923</v>
      </c>
      <c r="I26" s="52"/>
      <c r="J26" s="52">
        <f t="shared" si="10"/>
        <v>16923</v>
      </c>
      <c r="L26" s="235" t="s">
        <v>4</v>
      </c>
      <c r="M26" s="236"/>
      <c r="N26" s="86">
        <f t="shared" ref="N26:Q27" si="15">D26-D9</f>
        <v>3439</v>
      </c>
      <c r="O26" s="86">
        <f t="shared" si="15"/>
        <v>1666</v>
      </c>
      <c r="P26" s="86">
        <f t="shared" si="15"/>
        <v>2692</v>
      </c>
      <c r="Q26" s="86">
        <f t="shared" si="15"/>
        <v>83</v>
      </c>
      <c r="R26" s="52">
        <f t="shared" si="14"/>
        <v>7880</v>
      </c>
      <c r="S26" s="52">
        <f>I26-I9</f>
        <v>0</v>
      </c>
      <c r="T26" s="52">
        <f t="shared" si="12"/>
        <v>7880</v>
      </c>
    </row>
    <row r="27" spans="2:20" s="47" customFormat="1" ht="11.1" customHeight="1" x14ac:dyDescent="0.2">
      <c r="B27" s="235" t="s">
        <v>5</v>
      </c>
      <c r="C27" s="236"/>
      <c r="D27" s="86">
        <v>27631</v>
      </c>
      <c r="E27" s="86">
        <v>13986</v>
      </c>
      <c r="F27" s="86">
        <v>19698</v>
      </c>
      <c r="G27" s="86">
        <v>1912</v>
      </c>
      <c r="H27" s="52">
        <f t="shared" si="13"/>
        <v>63227</v>
      </c>
      <c r="I27" s="52"/>
      <c r="J27" s="52">
        <f t="shared" si="10"/>
        <v>63227</v>
      </c>
      <c r="L27" s="235" t="s">
        <v>5</v>
      </c>
      <c r="M27" s="236"/>
      <c r="N27" s="86">
        <f t="shared" si="15"/>
        <v>13895</v>
      </c>
      <c r="O27" s="86">
        <f t="shared" si="15"/>
        <v>6470</v>
      </c>
      <c r="P27" s="86">
        <f t="shared" si="15"/>
        <v>9603</v>
      </c>
      <c r="Q27" s="86">
        <f t="shared" si="15"/>
        <v>858</v>
      </c>
      <c r="R27" s="52">
        <f t="shared" si="14"/>
        <v>30826</v>
      </c>
      <c r="S27" s="52">
        <f>I27-I10</f>
        <v>0</v>
      </c>
      <c r="T27" s="52">
        <f t="shared" si="12"/>
        <v>30826</v>
      </c>
    </row>
    <row r="28" spans="2:20" s="47" customFormat="1" ht="11.1" customHeight="1" x14ac:dyDescent="0.2">
      <c r="B28" s="233" t="s">
        <v>206</v>
      </c>
      <c r="C28" s="234"/>
      <c r="D28" s="87">
        <f t="shared" ref="D28:G28" si="16">D25-D26-D27</f>
        <v>13727</v>
      </c>
      <c r="E28" s="87">
        <f t="shared" si="16"/>
        <v>21071</v>
      </c>
      <c r="F28" s="87">
        <f t="shared" si="16"/>
        <v>11753</v>
      </c>
      <c r="G28" s="87">
        <f t="shared" si="16"/>
        <v>-2167</v>
      </c>
      <c r="H28" s="49">
        <f t="shared" si="13"/>
        <v>44384</v>
      </c>
      <c r="I28" s="49">
        <f>I25-I26-I27</f>
        <v>0</v>
      </c>
      <c r="J28" s="49">
        <f t="shared" si="10"/>
        <v>44384</v>
      </c>
      <c r="L28" s="233" t="s">
        <v>206</v>
      </c>
      <c r="M28" s="234"/>
      <c r="N28" s="87">
        <f>N25-N26-N27</f>
        <v>8594</v>
      </c>
      <c r="O28" s="87">
        <f>O25-O26-O27</f>
        <v>9785</v>
      </c>
      <c r="P28" s="87">
        <f>P25-P26-P27</f>
        <v>5372</v>
      </c>
      <c r="Q28" s="87">
        <f>Q25-Q26-Q27</f>
        <v>-941</v>
      </c>
      <c r="R28" s="49">
        <f t="shared" si="14"/>
        <v>22810</v>
      </c>
      <c r="S28" s="49">
        <f>S25-S26-S27</f>
        <v>0</v>
      </c>
      <c r="T28" s="49">
        <f t="shared" si="12"/>
        <v>22810</v>
      </c>
    </row>
    <row r="29" spans="2:20" s="47" customFormat="1" ht="11.1" customHeight="1" x14ac:dyDescent="0.2">
      <c r="B29" s="235" t="s">
        <v>207</v>
      </c>
      <c r="C29" s="236"/>
      <c r="D29" s="86">
        <v>-1239</v>
      </c>
      <c r="E29" s="86">
        <v>-611</v>
      </c>
      <c r="F29" s="86">
        <v>-2524</v>
      </c>
      <c r="G29" s="86">
        <v>0</v>
      </c>
      <c r="H29" s="52">
        <f t="shared" si="13"/>
        <v>-4374</v>
      </c>
      <c r="I29" s="52">
        <v>0</v>
      </c>
      <c r="J29" s="52">
        <f t="shared" si="10"/>
        <v>-4374</v>
      </c>
      <c r="L29" s="235" t="s">
        <v>207</v>
      </c>
      <c r="M29" s="236"/>
      <c r="N29" s="86">
        <f t="shared" ref="N29:P31" si="17">D29-D12</f>
        <v>-1408</v>
      </c>
      <c r="O29" s="86">
        <f t="shared" si="17"/>
        <v>-478</v>
      </c>
      <c r="P29" s="86">
        <f t="shared" si="17"/>
        <v>-1304</v>
      </c>
      <c r="Q29" s="86">
        <v>0</v>
      </c>
      <c r="R29" s="52">
        <f t="shared" si="14"/>
        <v>-3190</v>
      </c>
      <c r="S29" s="52">
        <f>I29-I12</f>
        <v>0</v>
      </c>
      <c r="T29" s="52">
        <f t="shared" si="12"/>
        <v>-3190</v>
      </c>
    </row>
    <row r="30" spans="2:20" s="47" customFormat="1" ht="11.1" customHeight="1" x14ac:dyDescent="0.2">
      <c r="B30" s="237" t="s">
        <v>208</v>
      </c>
      <c r="C30" s="250"/>
      <c r="D30" s="86">
        <v>0</v>
      </c>
      <c r="E30" s="86">
        <v>0</v>
      </c>
      <c r="F30" s="86">
        <v>400</v>
      </c>
      <c r="G30" s="86">
        <v>0</v>
      </c>
      <c r="H30" s="52">
        <f t="shared" si="13"/>
        <v>400</v>
      </c>
      <c r="I30" s="52"/>
      <c r="J30" s="52">
        <f t="shared" si="10"/>
        <v>400</v>
      </c>
      <c r="L30" s="237" t="s">
        <v>208</v>
      </c>
      <c r="M30" s="250"/>
      <c r="N30" s="86">
        <f t="shared" si="17"/>
        <v>0</v>
      </c>
      <c r="O30" s="86">
        <f t="shared" si="17"/>
        <v>0</v>
      </c>
      <c r="P30" s="86">
        <f t="shared" si="17"/>
        <v>406</v>
      </c>
      <c r="Q30" s="86">
        <v>0</v>
      </c>
      <c r="R30" s="52">
        <f t="shared" si="14"/>
        <v>406</v>
      </c>
      <c r="S30" s="52">
        <f>I30-I13</f>
        <v>0</v>
      </c>
      <c r="T30" s="52">
        <f t="shared" si="12"/>
        <v>406</v>
      </c>
    </row>
    <row r="31" spans="2:20" s="47" customFormat="1" ht="11.1" customHeight="1" x14ac:dyDescent="0.2">
      <c r="B31" s="237" t="s">
        <v>27</v>
      </c>
      <c r="C31" s="250"/>
      <c r="D31" s="86"/>
      <c r="E31" s="86"/>
      <c r="F31" s="86"/>
      <c r="G31" s="86"/>
      <c r="H31" s="52">
        <f t="shared" si="13"/>
        <v>0</v>
      </c>
      <c r="I31" s="52">
        <v>0</v>
      </c>
      <c r="J31" s="52">
        <f t="shared" si="10"/>
        <v>0</v>
      </c>
      <c r="L31" s="237" t="s">
        <v>27</v>
      </c>
      <c r="M31" s="250"/>
      <c r="N31" s="86">
        <f t="shared" si="17"/>
        <v>0</v>
      </c>
      <c r="O31" s="86">
        <f t="shared" si="17"/>
        <v>0</v>
      </c>
      <c r="P31" s="86">
        <f t="shared" si="17"/>
        <v>0</v>
      </c>
      <c r="Q31" s="86">
        <v>0</v>
      </c>
      <c r="R31" s="52">
        <f t="shared" si="14"/>
        <v>0</v>
      </c>
      <c r="S31" s="52">
        <f>I31-I14</f>
        <v>0</v>
      </c>
      <c r="T31" s="52">
        <f t="shared" si="12"/>
        <v>0</v>
      </c>
    </row>
    <row r="32" spans="2:20" s="47" customFormat="1" ht="11.1" customHeight="1" x14ac:dyDescent="0.2">
      <c r="B32" s="233" t="s">
        <v>209</v>
      </c>
      <c r="C32" s="234"/>
      <c r="D32" s="87">
        <f t="shared" ref="D32:G32" si="18">D28+D29+D31+D30</f>
        <v>12488</v>
      </c>
      <c r="E32" s="87">
        <f t="shared" si="18"/>
        <v>20460</v>
      </c>
      <c r="F32" s="87">
        <f t="shared" si="18"/>
        <v>9629</v>
      </c>
      <c r="G32" s="87">
        <f t="shared" si="18"/>
        <v>-2167</v>
      </c>
      <c r="H32" s="49">
        <f t="shared" si="13"/>
        <v>40410</v>
      </c>
      <c r="I32" s="49">
        <f>I28+I29+I31</f>
        <v>0</v>
      </c>
      <c r="J32" s="49">
        <f t="shared" si="10"/>
        <v>40410</v>
      </c>
      <c r="L32" s="233" t="s">
        <v>209</v>
      </c>
      <c r="M32" s="234"/>
      <c r="N32" s="87">
        <f t="shared" ref="N32:Q32" si="19">N28+N29+N30+N31</f>
        <v>7186</v>
      </c>
      <c r="O32" s="87">
        <f t="shared" si="19"/>
        <v>9307</v>
      </c>
      <c r="P32" s="87">
        <f t="shared" si="19"/>
        <v>4474</v>
      </c>
      <c r="Q32" s="87">
        <f t="shared" si="19"/>
        <v>-941</v>
      </c>
      <c r="R32" s="49">
        <f t="shared" si="14"/>
        <v>20026</v>
      </c>
      <c r="S32" s="49">
        <f>S28+S29+S31</f>
        <v>0</v>
      </c>
      <c r="T32" s="49">
        <f t="shared" si="12"/>
        <v>20026</v>
      </c>
    </row>
    <row r="33" spans="2:20" s="47" customFormat="1" ht="11.1" customHeight="1" x14ac:dyDescent="0.2">
      <c r="B33" s="75" t="s">
        <v>22</v>
      </c>
      <c r="C33" s="76"/>
      <c r="D33" s="87">
        <v>13371</v>
      </c>
      <c r="E33" s="87">
        <v>7668</v>
      </c>
      <c r="F33" s="87">
        <v>4731</v>
      </c>
      <c r="G33" s="87">
        <v>0</v>
      </c>
      <c r="H33" s="49">
        <f t="shared" si="13"/>
        <v>25770</v>
      </c>
      <c r="I33" s="49">
        <v>0</v>
      </c>
      <c r="J33" s="49">
        <f t="shared" si="10"/>
        <v>25770</v>
      </c>
      <c r="L33" s="75" t="s">
        <v>22</v>
      </c>
      <c r="M33" s="76"/>
      <c r="N33" s="87">
        <f>D33-D16</f>
        <v>6902</v>
      </c>
      <c r="O33" s="87">
        <f>E33-E16</f>
        <v>3917</v>
      </c>
      <c r="P33" s="87">
        <f>F33-F16</f>
        <v>2162</v>
      </c>
      <c r="Q33" s="87">
        <f>G33-G16</f>
        <v>0</v>
      </c>
      <c r="R33" s="49">
        <f t="shared" si="14"/>
        <v>12981</v>
      </c>
      <c r="S33" s="49">
        <f>I33-I16</f>
        <v>0</v>
      </c>
      <c r="T33" s="49">
        <f t="shared" si="12"/>
        <v>12981</v>
      </c>
    </row>
    <row r="34" spans="2:20" s="47" customFormat="1" ht="11.1" customHeight="1" x14ac:dyDescent="0.2">
      <c r="B34" s="233" t="s">
        <v>23</v>
      </c>
      <c r="C34" s="234"/>
      <c r="D34" s="87">
        <f t="shared" ref="D34:G34" si="20">D32+D33</f>
        <v>25859</v>
      </c>
      <c r="E34" s="87">
        <f t="shared" si="20"/>
        <v>28128</v>
      </c>
      <c r="F34" s="87">
        <f t="shared" si="20"/>
        <v>14360</v>
      </c>
      <c r="G34" s="87">
        <f t="shared" si="20"/>
        <v>-2167</v>
      </c>
      <c r="H34" s="49">
        <f t="shared" si="13"/>
        <v>66180</v>
      </c>
      <c r="I34" s="49">
        <f>I32+I33</f>
        <v>0</v>
      </c>
      <c r="J34" s="49">
        <f t="shared" si="10"/>
        <v>66180</v>
      </c>
      <c r="L34" s="233" t="s">
        <v>23</v>
      </c>
      <c r="M34" s="234"/>
      <c r="N34" s="87">
        <f>N32+N33</f>
        <v>14088</v>
      </c>
      <c r="O34" s="87">
        <f t="shared" ref="O34:Q34" si="21">O32+O33</f>
        <v>13224</v>
      </c>
      <c r="P34" s="87">
        <f t="shared" si="21"/>
        <v>6636</v>
      </c>
      <c r="Q34" s="87">
        <f t="shared" si="21"/>
        <v>-941</v>
      </c>
      <c r="R34" s="49">
        <f t="shared" si="14"/>
        <v>33007</v>
      </c>
      <c r="S34" s="49">
        <f>S32+S33</f>
        <v>0</v>
      </c>
      <c r="T34" s="49">
        <f t="shared" si="12"/>
        <v>33007</v>
      </c>
    </row>
    <row r="35" spans="2:20" s="47" customFormat="1" ht="11.1" customHeight="1" x14ac:dyDescent="0.2">
      <c r="C35" s="54"/>
      <c r="M35" s="54"/>
    </row>
    <row r="36" spans="2:20" ht="11.1" customHeight="1" x14ac:dyDescent="0.2">
      <c r="B36" s="48"/>
      <c r="C36" s="72"/>
      <c r="D36" s="48"/>
      <c r="E36" s="48"/>
      <c r="F36" s="48"/>
      <c r="G36" s="48"/>
      <c r="H36" s="48"/>
      <c r="I36" s="48"/>
      <c r="J36" s="88"/>
      <c r="L36" s="48"/>
      <c r="M36" s="72"/>
      <c r="N36" s="48"/>
      <c r="O36" s="48"/>
      <c r="P36" s="48"/>
      <c r="Q36" s="48"/>
      <c r="R36" s="48"/>
      <c r="S36" s="48"/>
      <c r="T36" s="88"/>
    </row>
    <row r="37" spans="2:20" ht="11.1" customHeight="1" x14ac:dyDescent="0.2">
      <c r="B37" s="244" t="s">
        <v>59</v>
      </c>
      <c r="C37" s="253"/>
      <c r="D37" s="241" t="s">
        <v>196</v>
      </c>
      <c r="E37" s="241" t="s">
        <v>197</v>
      </c>
      <c r="F37" s="241" t="s">
        <v>198</v>
      </c>
      <c r="G37" s="241" t="s">
        <v>199</v>
      </c>
      <c r="H37" s="241" t="s">
        <v>200</v>
      </c>
      <c r="I37" s="241" t="s">
        <v>201</v>
      </c>
      <c r="J37" s="241" t="s">
        <v>202</v>
      </c>
      <c r="L37" s="244" t="s">
        <v>59</v>
      </c>
      <c r="M37" s="253"/>
      <c r="N37" s="241" t="s">
        <v>196</v>
      </c>
      <c r="O37" s="241" t="s">
        <v>197</v>
      </c>
      <c r="P37" s="241" t="s">
        <v>198</v>
      </c>
      <c r="Q37" s="241" t="s">
        <v>199</v>
      </c>
      <c r="R37" s="241" t="s">
        <v>200</v>
      </c>
      <c r="S37" s="241" t="s">
        <v>201</v>
      </c>
      <c r="T37" s="241" t="s">
        <v>202</v>
      </c>
    </row>
    <row r="38" spans="2:20" ht="11.1" customHeight="1" x14ac:dyDescent="0.2">
      <c r="B38" s="254"/>
      <c r="C38" s="255"/>
      <c r="D38" s="242"/>
      <c r="E38" s="242"/>
      <c r="F38" s="242"/>
      <c r="G38" s="242"/>
      <c r="H38" s="242"/>
      <c r="I38" s="242"/>
      <c r="J38" s="242"/>
      <c r="L38" s="254"/>
      <c r="M38" s="255"/>
      <c r="N38" s="242"/>
      <c r="O38" s="242"/>
      <c r="P38" s="242"/>
      <c r="Q38" s="242"/>
      <c r="R38" s="242"/>
      <c r="S38" s="242"/>
      <c r="T38" s="242"/>
    </row>
    <row r="39" spans="2:20" ht="11.1" customHeight="1" x14ac:dyDescent="0.2">
      <c r="B39" s="248" t="s">
        <v>226</v>
      </c>
      <c r="C39" s="249"/>
      <c r="D39" s="249"/>
      <c r="E39" s="249"/>
      <c r="F39" s="249"/>
      <c r="G39" s="249"/>
      <c r="H39" s="73"/>
      <c r="I39" s="73"/>
      <c r="J39" s="82"/>
      <c r="L39" s="248" t="s">
        <v>227</v>
      </c>
      <c r="M39" s="249"/>
      <c r="N39" s="249"/>
      <c r="O39" s="249"/>
      <c r="P39" s="249"/>
      <c r="Q39" s="249"/>
      <c r="R39" s="73"/>
      <c r="S39" s="73"/>
      <c r="T39" s="82"/>
    </row>
    <row r="40" spans="2:20" ht="11.1" customHeight="1" x14ac:dyDescent="0.2">
      <c r="B40" s="251" t="s">
        <v>204</v>
      </c>
      <c r="C40" s="252"/>
      <c r="D40" s="89">
        <v>335926</v>
      </c>
      <c r="E40" s="89">
        <v>198390</v>
      </c>
      <c r="F40" s="89">
        <v>171754</v>
      </c>
      <c r="G40" s="89"/>
      <c r="H40" s="89">
        <f t="shared" ref="H40:H51" si="22">SUM(D40:G40)</f>
        <v>706070</v>
      </c>
      <c r="I40" s="89"/>
      <c r="J40" s="89">
        <f>H40+I40</f>
        <v>706070</v>
      </c>
      <c r="L40" s="251" t="s">
        <v>204</v>
      </c>
      <c r="M40" s="252"/>
      <c r="N40" s="52">
        <f t="shared" ref="N40:Q41" si="23">D40-D23</f>
        <v>132344</v>
      </c>
      <c r="O40" s="52">
        <f t="shared" si="23"/>
        <v>50857</v>
      </c>
      <c r="P40" s="52">
        <f t="shared" si="23"/>
        <v>60925</v>
      </c>
      <c r="Q40" s="52">
        <f t="shared" si="23"/>
        <v>0</v>
      </c>
      <c r="R40" s="52">
        <f>SUM(N40:Q40)</f>
        <v>244126</v>
      </c>
      <c r="S40" s="52">
        <f t="shared" ref="S40:S51" si="24">I40-I23</f>
        <v>0</v>
      </c>
      <c r="T40" s="52">
        <f t="shared" ref="T40:T51" si="25">R40+S40</f>
        <v>244126</v>
      </c>
    </row>
    <row r="41" spans="2:20" ht="11.1" customHeight="1" x14ac:dyDescent="0.2">
      <c r="B41" s="251" t="s">
        <v>33</v>
      </c>
      <c r="C41" s="252"/>
      <c r="D41" s="89">
        <v>257293</v>
      </c>
      <c r="E41" s="89">
        <v>149767</v>
      </c>
      <c r="F41" s="89">
        <v>115185</v>
      </c>
      <c r="G41" s="89"/>
      <c r="H41" s="89">
        <f t="shared" si="22"/>
        <v>522245</v>
      </c>
      <c r="I41" s="89"/>
      <c r="J41" s="89">
        <f t="shared" ref="J41:J51" si="26">H41+I41</f>
        <v>522245</v>
      </c>
      <c r="L41" s="251" t="s">
        <v>33</v>
      </c>
      <c r="M41" s="252"/>
      <c r="N41" s="52">
        <f t="shared" si="23"/>
        <v>102203</v>
      </c>
      <c r="O41" s="52">
        <f t="shared" si="23"/>
        <v>40571</v>
      </c>
      <c r="P41" s="52">
        <f t="shared" si="23"/>
        <v>42061</v>
      </c>
      <c r="Q41" s="52">
        <f t="shared" si="23"/>
        <v>0</v>
      </c>
      <c r="R41" s="52">
        <f t="shared" ref="R41:R51" si="27">SUM(N41:Q41)</f>
        <v>184835</v>
      </c>
      <c r="S41" s="52">
        <f t="shared" si="24"/>
        <v>0</v>
      </c>
      <c r="T41" s="52">
        <f t="shared" si="25"/>
        <v>184835</v>
      </c>
    </row>
    <row r="42" spans="2:20" ht="11.1" customHeight="1" x14ac:dyDescent="0.2">
      <c r="B42" s="233" t="s">
        <v>205</v>
      </c>
      <c r="C42" s="234"/>
      <c r="D42" s="90">
        <f>D40-D41</f>
        <v>78633</v>
      </c>
      <c r="E42" s="90">
        <f>E40-E41</f>
        <v>48623</v>
      </c>
      <c r="F42" s="90">
        <f>F40-F41</f>
        <v>56569</v>
      </c>
      <c r="G42" s="90">
        <f>G40-G41</f>
        <v>0</v>
      </c>
      <c r="H42" s="90">
        <f t="shared" si="22"/>
        <v>183825</v>
      </c>
      <c r="I42" s="90">
        <f>I40-I41</f>
        <v>0</v>
      </c>
      <c r="J42" s="90">
        <f t="shared" si="26"/>
        <v>183825</v>
      </c>
      <c r="L42" s="233" t="s">
        <v>205</v>
      </c>
      <c r="M42" s="234"/>
      <c r="N42" s="49">
        <f>N40-N41</f>
        <v>30141</v>
      </c>
      <c r="O42" s="49">
        <f>O40-O41</f>
        <v>10286</v>
      </c>
      <c r="P42" s="49">
        <f>P40-P41</f>
        <v>18864</v>
      </c>
      <c r="Q42" s="49">
        <f>Q40-Q41</f>
        <v>0</v>
      </c>
      <c r="R42" s="49">
        <f t="shared" si="27"/>
        <v>59291</v>
      </c>
      <c r="S42" s="52">
        <f t="shared" si="24"/>
        <v>0</v>
      </c>
      <c r="T42" s="49">
        <f t="shared" si="25"/>
        <v>59291</v>
      </c>
    </row>
    <row r="43" spans="2:20" ht="11.1" customHeight="1" x14ac:dyDescent="0.2">
      <c r="B43" s="235" t="s">
        <v>4</v>
      </c>
      <c r="C43" s="236"/>
      <c r="D43" s="89">
        <v>10333</v>
      </c>
      <c r="E43" s="89">
        <v>4386</v>
      </c>
      <c r="F43" s="89">
        <v>9211</v>
      </c>
      <c r="G43" s="89">
        <v>367</v>
      </c>
      <c r="H43" s="89">
        <f t="shared" si="22"/>
        <v>24297</v>
      </c>
      <c r="I43" s="89"/>
      <c r="J43" s="89">
        <f t="shared" si="26"/>
        <v>24297</v>
      </c>
      <c r="L43" s="235" t="s">
        <v>4</v>
      </c>
      <c r="M43" s="236"/>
      <c r="N43" s="52">
        <f t="shared" ref="N43:Q44" si="28">D43-D26</f>
        <v>3199</v>
      </c>
      <c r="O43" s="52">
        <f t="shared" si="28"/>
        <v>1106</v>
      </c>
      <c r="P43" s="52">
        <f t="shared" si="28"/>
        <v>2957</v>
      </c>
      <c r="Q43" s="52">
        <f t="shared" si="28"/>
        <v>112</v>
      </c>
      <c r="R43" s="52">
        <f t="shared" si="27"/>
        <v>7374</v>
      </c>
      <c r="S43" s="52">
        <f t="shared" si="24"/>
        <v>0</v>
      </c>
      <c r="T43" s="52">
        <f t="shared" si="25"/>
        <v>7374</v>
      </c>
    </row>
    <row r="44" spans="2:20" ht="11.1" customHeight="1" x14ac:dyDescent="0.2">
      <c r="B44" s="235" t="s">
        <v>5</v>
      </c>
      <c r="C44" s="236"/>
      <c r="D44" s="89">
        <v>40473</v>
      </c>
      <c r="E44" s="89">
        <v>20283</v>
      </c>
      <c r="F44" s="89">
        <v>30335</v>
      </c>
      <c r="G44" s="89">
        <v>2759</v>
      </c>
      <c r="H44" s="89">
        <f t="shared" si="22"/>
        <v>93850</v>
      </c>
      <c r="I44" s="89"/>
      <c r="J44" s="89">
        <f t="shared" si="26"/>
        <v>93850</v>
      </c>
      <c r="L44" s="235" t="s">
        <v>5</v>
      </c>
      <c r="M44" s="236"/>
      <c r="N44" s="52">
        <f t="shared" si="28"/>
        <v>12842</v>
      </c>
      <c r="O44" s="52">
        <f t="shared" si="28"/>
        <v>6297</v>
      </c>
      <c r="P44" s="52">
        <f t="shared" si="28"/>
        <v>10637</v>
      </c>
      <c r="Q44" s="52">
        <f t="shared" si="28"/>
        <v>847</v>
      </c>
      <c r="R44" s="52">
        <f t="shared" si="27"/>
        <v>30623</v>
      </c>
      <c r="S44" s="52">
        <f t="shared" si="24"/>
        <v>0</v>
      </c>
      <c r="T44" s="52">
        <f t="shared" si="25"/>
        <v>30623</v>
      </c>
    </row>
    <row r="45" spans="2:20" ht="11.1" customHeight="1" x14ac:dyDescent="0.2">
      <c r="B45" s="233" t="s">
        <v>206</v>
      </c>
      <c r="C45" s="234"/>
      <c r="D45" s="90">
        <f>D42-D43-D44</f>
        <v>27827</v>
      </c>
      <c r="E45" s="90">
        <f>E42-E43-E44</f>
        <v>23954</v>
      </c>
      <c r="F45" s="90">
        <f>F42-F43-F44</f>
        <v>17023</v>
      </c>
      <c r="G45" s="90">
        <f>G42-G43-G44</f>
        <v>-3126</v>
      </c>
      <c r="H45" s="90">
        <f t="shared" si="22"/>
        <v>65678</v>
      </c>
      <c r="I45" s="90">
        <f>I42-I43-I44</f>
        <v>0</v>
      </c>
      <c r="J45" s="90">
        <f t="shared" si="26"/>
        <v>65678</v>
      </c>
      <c r="L45" s="233" t="s">
        <v>206</v>
      </c>
      <c r="M45" s="234"/>
      <c r="N45" s="49">
        <f>N42-N43-N44</f>
        <v>14100</v>
      </c>
      <c r="O45" s="49">
        <f>O42-O43-O44</f>
        <v>2883</v>
      </c>
      <c r="P45" s="49">
        <f>P42-P43-P44</f>
        <v>5270</v>
      </c>
      <c r="Q45" s="49">
        <f>Q42-Q43-Q44</f>
        <v>-959</v>
      </c>
      <c r="R45" s="49">
        <f t="shared" si="27"/>
        <v>21294</v>
      </c>
      <c r="S45" s="52">
        <f t="shared" si="24"/>
        <v>0</v>
      </c>
      <c r="T45" s="49">
        <f t="shared" si="25"/>
        <v>21294</v>
      </c>
    </row>
    <row r="46" spans="2:20" ht="11.1" customHeight="1" x14ac:dyDescent="0.2">
      <c r="B46" s="235" t="s">
        <v>207</v>
      </c>
      <c r="C46" s="236"/>
      <c r="D46" s="89">
        <v>-3810</v>
      </c>
      <c r="E46" s="89">
        <v>-748</v>
      </c>
      <c r="F46" s="89">
        <v>-1805</v>
      </c>
      <c r="G46" s="89">
        <v>0</v>
      </c>
      <c r="H46" s="89">
        <f t="shared" si="22"/>
        <v>-6363</v>
      </c>
      <c r="I46" s="89">
        <v>0</v>
      </c>
      <c r="J46" s="89">
        <f t="shared" si="26"/>
        <v>-6363</v>
      </c>
      <c r="L46" s="235" t="s">
        <v>207</v>
      </c>
      <c r="M46" s="236"/>
      <c r="N46" s="52">
        <f t="shared" ref="N46:Q48" si="29">D46-D29</f>
        <v>-2571</v>
      </c>
      <c r="O46" s="52">
        <f t="shared" si="29"/>
        <v>-137</v>
      </c>
      <c r="P46" s="52">
        <f t="shared" si="29"/>
        <v>719</v>
      </c>
      <c r="Q46" s="52">
        <f t="shared" si="29"/>
        <v>0</v>
      </c>
      <c r="R46" s="52">
        <f t="shared" si="27"/>
        <v>-1989</v>
      </c>
      <c r="S46" s="52">
        <f t="shared" si="24"/>
        <v>0</v>
      </c>
      <c r="T46" s="52">
        <f t="shared" si="25"/>
        <v>-1989</v>
      </c>
    </row>
    <row r="47" spans="2:20" ht="11.1" customHeight="1" x14ac:dyDescent="0.2">
      <c r="B47" s="237" t="s">
        <v>208</v>
      </c>
      <c r="C47" s="250"/>
      <c r="D47" s="89">
        <v>0</v>
      </c>
      <c r="E47" s="89">
        <v>0</v>
      </c>
      <c r="F47" s="89">
        <v>859</v>
      </c>
      <c r="G47" s="89">
        <v>0</v>
      </c>
      <c r="H47" s="89">
        <f t="shared" si="22"/>
        <v>859</v>
      </c>
      <c r="I47" s="89"/>
      <c r="J47" s="89">
        <f t="shared" si="26"/>
        <v>859</v>
      </c>
      <c r="L47" s="237" t="s">
        <v>208</v>
      </c>
      <c r="M47" s="250"/>
      <c r="N47" s="52">
        <f t="shared" si="29"/>
        <v>0</v>
      </c>
      <c r="O47" s="52">
        <f t="shared" si="29"/>
        <v>0</v>
      </c>
      <c r="P47" s="52">
        <f t="shared" si="29"/>
        <v>459</v>
      </c>
      <c r="Q47" s="52">
        <f t="shared" si="29"/>
        <v>0</v>
      </c>
      <c r="R47" s="52">
        <f t="shared" si="27"/>
        <v>459</v>
      </c>
      <c r="S47" s="52">
        <f t="shared" si="24"/>
        <v>0</v>
      </c>
      <c r="T47" s="52">
        <f t="shared" si="25"/>
        <v>459</v>
      </c>
    </row>
    <row r="48" spans="2:20" ht="11.1" customHeight="1" x14ac:dyDescent="0.2">
      <c r="B48" s="237" t="s">
        <v>27</v>
      </c>
      <c r="C48" s="250"/>
      <c r="D48" s="89"/>
      <c r="E48" s="89"/>
      <c r="F48" s="89"/>
      <c r="G48" s="89"/>
      <c r="H48" s="89">
        <f t="shared" si="22"/>
        <v>0</v>
      </c>
      <c r="I48" s="89">
        <v>0</v>
      </c>
      <c r="J48" s="89">
        <f t="shared" si="26"/>
        <v>0</v>
      </c>
      <c r="L48" s="237" t="s">
        <v>27</v>
      </c>
      <c r="M48" s="250"/>
      <c r="N48" s="52">
        <f t="shared" si="29"/>
        <v>0</v>
      </c>
      <c r="O48" s="52">
        <f t="shared" si="29"/>
        <v>0</v>
      </c>
      <c r="P48" s="52">
        <f t="shared" si="29"/>
        <v>0</v>
      </c>
      <c r="Q48" s="52">
        <f t="shared" si="29"/>
        <v>0</v>
      </c>
      <c r="R48" s="52">
        <f t="shared" si="27"/>
        <v>0</v>
      </c>
      <c r="S48" s="52">
        <f t="shared" si="24"/>
        <v>0</v>
      </c>
      <c r="T48" s="52">
        <f t="shared" si="25"/>
        <v>0</v>
      </c>
    </row>
    <row r="49" spans="2:20" ht="11.1" customHeight="1" x14ac:dyDescent="0.2">
      <c r="B49" s="233" t="s">
        <v>209</v>
      </c>
      <c r="C49" s="234"/>
      <c r="D49" s="90">
        <f t="shared" ref="D49:G49" si="30">D45+D46+D47+D48</f>
        <v>24017</v>
      </c>
      <c r="E49" s="90">
        <f t="shared" si="30"/>
        <v>23206</v>
      </c>
      <c r="F49" s="90">
        <f t="shared" si="30"/>
        <v>16077</v>
      </c>
      <c r="G49" s="90">
        <f t="shared" si="30"/>
        <v>-3126</v>
      </c>
      <c r="H49" s="90">
        <f t="shared" si="22"/>
        <v>60174</v>
      </c>
      <c r="I49" s="90">
        <f>I45+I46+I48</f>
        <v>0</v>
      </c>
      <c r="J49" s="90">
        <f>H49+I49</f>
        <v>60174</v>
      </c>
      <c r="L49" s="233" t="s">
        <v>209</v>
      </c>
      <c r="M49" s="234"/>
      <c r="N49" s="49">
        <f t="shared" ref="N49:Q49" si="31">N45+N46+N47+N48</f>
        <v>11529</v>
      </c>
      <c r="O49" s="49">
        <f t="shared" si="31"/>
        <v>2746</v>
      </c>
      <c r="P49" s="49">
        <f t="shared" si="31"/>
        <v>6448</v>
      </c>
      <c r="Q49" s="49">
        <f t="shared" si="31"/>
        <v>-959</v>
      </c>
      <c r="R49" s="49">
        <f t="shared" si="27"/>
        <v>19764</v>
      </c>
      <c r="S49" s="52">
        <f t="shared" si="24"/>
        <v>0</v>
      </c>
      <c r="T49" s="49">
        <f t="shared" si="25"/>
        <v>19764</v>
      </c>
    </row>
    <row r="50" spans="2:20" ht="11.1" customHeight="1" x14ac:dyDescent="0.2">
      <c r="B50" s="75" t="s">
        <v>22</v>
      </c>
      <c r="C50" s="76"/>
      <c r="D50" s="90">
        <v>20106</v>
      </c>
      <c r="E50" s="90">
        <v>11777</v>
      </c>
      <c r="F50" s="90">
        <v>7606</v>
      </c>
      <c r="G50" s="90">
        <v>0</v>
      </c>
      <c r="H50" s="90">
        <f t="shared" si="22"/>
        <v>39489</v>
      </c>
      <c r="I50" s="90">
        <v>0</v>
      </c>
      <c r="J50" s="90">
        <f t="shared" si="26"/>
        <v>39489</v>
      </c>
      <c r="L50" s="75" t="s">
        <v>22</v>
      </c>
      <c r="M50" s="76"/>
      <c r="N50" s="49">
        <f>D50-D33</f>
        <v>6735</v>
      </c>
      <c r="O50" s="49">
        <f>E50-E33</f>
        <v>4109</v>
      </c>
      <c r="P50" s="49">
        <f>F50-F33</f>
        <v>2875</v>
      </c>
      <c r="Q50" s="49">
        <f>G50-G33</f>
        <v>0</v>
      </c>
      <c r="R50" s="49">
        <f t="shared" si="27"/>
        <v>13719</v>
      </c>
      <c r="S50" s="52">
        <f t="shared" si="24"/>
        <v>0</v>
      </c>
      <c r="T50" s="49">
        <f t="shared" si="25"/>
        <v>13719</v>
      </c>
    </row>
    <row r="51" spans="2:20" ht="11.1" customHeight="1" x14ac:dyDescent="0.2">
      <c r="B51" s="233" t="s">
        <v>23</v>
      </c>
      <c r="C51" s="234"/>
      <c r="D51" s="90">
        <f>D49+D50</f>
        <v>44123</v>
      </c>
      <c r="E51" s="90">
        <f t="shared" ref="E51:G51" si="32">E49+E50</f>
        <v>34983</v>
      </c>
      <c r="F51" s="90">
        <f t="shared" si="32"/>
        <v>23683</v>
      </c>
      <c r="G51" s="90">
        <f t="shared" si="32"/>
        <v>-3126</v>
      </c>
      <c r="H51" s="90">
        <f t="shared" si="22"/>
        <v>99663</v>
      </c>
      <c r="I51" s="90">
        <f>I49+I50</f>
        <v>0</v>
      </c>
      <c r="J51" s="90">
        <f t="shared" si="26"/>
        <v>99663</v>
      </c>
      <c r="L51" s="233" t="s">
        <v>23</v>
      </c>
      <c r="M51" s="234"/>
      <c r="N51" s="49">
        <f>N49+N50</f>
        <v>18264</v>
      </c>
      <c r="O51" s="49">
        <f t="shared" ref="O51:Q51" si="33">O49+O50</f>
        <v>6855</v>
      </c>
      <c r="P51" s="49">
        <f t="shared" si="33"/>
        <v>9323</v>
      </c>
      <c r="Q51" s="49">
        <f t="shared" si="33"/>
        <v>-959</v>
      </c>
      <c r="R51" s="49">
        <f t="shared" si="27"/>
        <v>33483</v>
      </c>
      <c r="S51" s="52">
        <f t="shared" si="24"/>
        <v>0</v>
      </c>
      <c r="T51" s="49">
        <f t="shared" si="25"/>
        <v>33483</v>
      </c>
    </row>
    <row r="53" spans="2:20" ht="11.1" customHeight="1" x14ac:dyDescent="0.2">
      <c r="B53" s="48"/>
      <c r="C53" s="72"/>
      <c r="D53" s="48"/>
      <c r="E53" s="48"/>
      <c r="F53" s="48"/>
      <c r="G53" s="48"/>
      <c r="H53" s="48"/>
      <c r="I53" s="48"/>
      <c r="J53" s="88"/>
      <c r="L53" s="48"/>
      <c r="M53" s="72"/>
      <c r="N53" s="48"/>
      <c r="O53" s="48"/>
      <c r="P53" s="48"/>
      <c r="Q53" s="48"/>
      <c r="R53" s="48"/>
      <c r="S53" s="48"/>
      <c r="T53" s="88"/>
    </row>
    <row r="54" spans="2:20" ht="11.1" hidden="1" customHeight="1" outlineLevel="1" x14ac:dyDescent="0.2">
      <c r="B54" s="244" t="s">
        <v>59</v>
      </c>
      <c r="C54" s="253"/>
      <c r="D54" s="241" t="s">
        <v>196</v>
      </c>
      <c r="E54" s="241" t="s">
        <v>197</v>
      </c>
      <c r="F54" s="241" t="s">
        <v>198</v>
      </c>
      <c r="G54" s="241" t="s">
        <v>199</v>
      </c>
      <c r="H54" s="241" t="s">
        <v>200</v>
      </c>
      <c r="I54" s="241" t="s">
        <v>201</v>
      </c>
      <c r="J54" s="241" t="s">
        <v>202</v>
      </c>
      <c r="L54" s="244" t="s">
        <v>59</v>
      </c>
      <c r="M54" s="253"/>
      <c r="N54" s="241" t="s">
        <v>196</v>
      </c>
      <c r="O54" s="241" t="s">
        <v>197</v>
      </c>
      <c r="P54" s="241" t="s">
        <v>198</v>
      </c>
      <c r="Q54" s="241" t="s">
        <v>199</v>
      </c>
      <c r="R54" s="241" t="s">
        <v>200</v>
      </c>
      <c r="S54" s="241" t="s">
        <v>201</v>
      </c>
      <c r="T54" s="241" t="s">
        <v>202</v>
      </c>
    </row>
    <row r="55" spans="2:20" ht="11.1" hidden="1" customHeight="1" outlineLevel="1" x14ac:dyDescent="0.2">
      <c r="B55" s="254"/>
      <c r="C55" s="255"/>
      <c r="D55" s="242"/>
      <c r="E55" s="242"/>
      <c r="F55" s="242"/>
      <c r="G55" s="242"/>
      <c r="H55" s="242"/>
      <c r="I55" s="242"/>
      <c r="J55" s="242"/>
      <c r="L55" s="254"/>
      <c r="M55" s="255"/>
      <c r="N55" s="242"/>
      <c r="O55" s="242"/>
      <c r="P55" s="242"/>
      <c r="Q55" s="242"/>
      <c r="R55" s="242"/>
      <c r="S55" s="242"/>
      <c r="T55" s="242"/>
    </row>
    <row r="56" spans="2:20" ht="11.1" hidden="1" customHeight="1" outlineLevel="1" x14ac:dyDescent="0.2">
      <c r="B56" s="248" t="s">
        <v>228</v>
      </c>
      <c r="C56" s="249"/>
      <c r="D56" s="249"/>
      <c r="E56" s="249"/>
      <c r="F56" s="249"/>
      <c r="G56" s="249"/>
      <c r="H56" s="73"/>
      <c r="I56" s="73"/>
      <c r="J56" s="82"/>
      <c r="L56" s="248" t="s">
        <v>229</v>
      </c>
      <c r="M56" s="249"/>
      <c r="N56" s="249"/>
      <c r="O56" s="249"/>
      <c r="P56" s="249"/>
      <c r="Q56" s="249"/>
      <c r="R56" s="73"/>
      <c r="S56" s="73"/>
      <c r="T56" s="82"/>
    </row>
    <row r="57" spans="2:20" ht="11.1" hidden="1" customHeight="1" outlineLevel="1" x14ac:dyDescent="0.2">
      <c r="B57" s="251" t="s">
        <v>204</v>
      </c>
      <c r="C57" s="252"/>
      <c r="D57" s="52"/>
      <c r="E57" s="52"/>
      <c r="F57" s="52"/>
      <c r="G57" s="52"/>
      <c r="H57" s="52"/>
      <c r="I57" s="52"/>
      <c r="J57" s="52"/>
      <c r="L57" s="251" t="s">
        <v>204</v>
      </c>
      <c r="M57" s="252"/>
      <c r="N57" s="52">
        <f t="shared" ref="N57:Q58" si="34">D57-D40</f>
        <v>-335926</v>
      </c>
      <c r="O57" s="52">
        <f t="shared" si="34"/>
        <v>-198390</v>
      </c>
      <c r="P57" s="52">
        <f t="shared" si="34"/>
        <v>-171754</v>
      </c>
      <c r="Q57" s="52">
        <f t="shared" si="34"/>
        <v>0</v>
      </c>
      <c r="R57" s="52">
        <f>SUM(N57:Q57)</f>
        <v>-706070</v>
      </c>
      <c r="S57" s="52">
        <f>I57-H40</f>
        <v>-706070</v>
      </c>
      <c r="T57" s="52">
        <f t="shared" ref="T57:T68" si="35">R57+S57</f>
        <v>-1412140</v>
      </c>
    </row>
    <row r="58" spans="2:20" ht="11.1" hidden="1" customHeight="1" outlineLevel="1" x14ac:dyDescent="0.2">
      <c r="B58" s="251" t="s">
        <v>33</v>
      </c>
      <c r="C58" s="252"/>
      <c r="D58" s="52"/>
      <c r="E58" s="52"/>
      <c r="F58" s="52"/>
      <c r="G58" s="52"/>
      <c r="H58" s="52"/>
      <c r="I58" s="52"/>
      <c r="J58" s="52"/>
      <c r="L58" s="251" t="s">
        <v>33</v>
      </c>
      <c r="M58" s="252"/>
      <c r="N58" s="52">
        <f t="shared" si="34"/>
        <v>-257293</v>
      </c>
      <c r="O58" s="52">
        <f t="shared" si="34"/>
        <v>-149767</v>
      </c>
      <c r="P58" s="52">
        <f t="shared" si="34"/>
        <v>-115185</v>
      </c>
      <c r="Q58" s="52">
        <f t="shared" si="34"/>
        <v>0</v>
      </c>
      <c r="R58" s="52">
        <f t="shared" ref="R58:R68" si="36">SUM(N58:Q58)</f>
        <v>-522245</v>
      </c>
      <c r="S58" s="52">
        <f>I58-H41</f>
        <v>-522245</v>
      </c>
      <c r="T58" s="52">
        <f t="shared" si="35"/>
        <v>-1044490</v>
      </c>
    </row>
    <row r="59" spans="2:20" ht="11.1" hidden="1" customHeight="1" outlineLevel="1" x14ac:dyDescent="0.2">
      <c r="B59" s="233" t="s">
        <v>205</v>
      </c>
      <c r="C59" s="234"/>
      <c r="D59" s="49"/>
      <c r="E59" s="49"/>
      <c r="F59" s="49"/>
      <c r="G59" s="49"/>
      <c r="H59" s="49"/>
      <c r="I59" s="49"/>
      <c r="J59" s="49"/>
      <c r="L59" s="233" t="s">
        <v>205</v>
      </c>
      <c r="M59" s="234"/>
      <c r="N59" s="49">
        <f>N57-N58</f>
        <v>-78633</v>
      </c>
      <c r="O59" s="49">
        <f>O57-O58</f>
        <v>-48623</v>
      </c>
      <c r="P59" s="49">
        <f>P57-P58</f>
        <v>-56569</v>
      </c>
      <c r="Q59" s="49">
        <f>Q57-Q58</f>
        <v>0</v>
      </c>
      <c r="R59" s="49">
        <f t="shared" si="36"/>
        <v>-183825</v>
      </c>
      <c r="S59" s="49">
        <f>S57-S58</f>
        <v>-183825</v>
      </c>
      <c r="T59" s="49">
        <f t="shared" si="35"/>
        <v>-367650</v>
      </c>
    </row>
    <row r="60" spans="2:20" ht="11.1" hidden="1" customHeight="1" outlineLevel="1" x14ac:dyDescent="0.2">
      <c r="B60" s="235" t="s">
        <v>4</v>
      </c>
      <c r="C60" s="236"/>
      <c r="D60" s="52"/>
      <c r="E60" s="52"/>
      <c r="F60" s="52"/>
      <c r="G60" s="52"/>
      <c r="H60" s="52"/>
      <c r="I60" s="52"/>
      <c r="J60" s="52"/>
      <c r="L60" s="235" t="s">
        <v>4</v>
      </c>
      <c r="M60" s="236"/>
      <c r="N60" s="52">
        <f t="shared" ref="N60:Q61" si="37">D60-D43</f>
        <v>-10333</v>
      </c>
      <c r="O60" s="52">
        <f t="shared" si="37"/>
        <v>-4386</v>
      </c>
      <c r="P60" s="52">
        <f t="shared" si="37"/>
        <v>-9211</v>
      </c>
      <c r="Q60" s="52">
        <f t="shared" si="37"/>
        <v>-367</v>
      </c>
      <c r="R60" s="52">
        <f t="shared" si="36"/>
        <v>-24297</v>
      </c>
      <c r="S60" s="52">
        <f>I60-H43</f>
        <v>-24297</v>
      </c>
      <c r="T60" s="52">
        <f t="shared" si="35"/>
        <v>-48594</v>
      </c>
    </row>
    <row r="61" spans="2:20" ht="11.1" hidden="1" customHeight="1" outlineLevel="1" x14ac:dyDescent="0.2">
      <c r="B61" s="235" t="s">
        <v>5</v>
      </c>
      <c r="C61" s="236"/>
      <c r="D61" s="52"/>
      <c r="E61" s="52"/>
      <c r="F61" s="52"/>
      <c r="G61" s="52"/>
      <c r="H61" s="52"/>
      <c r="I61" s="52"/>
      <c r="J61" s="52"/>
      <c r="L61" s="235" t="s">
        <v>5</v>
      </c>
      <c r="M61" s="236"/>
      <c r="N61" s="52">
        <f t="shared" si="37"/>
        <v>-40473</v>
      </c>
      <c r="O61" s="52">
        <f t="shared" si="37"/>
        <v>-20283</v>
      </c>
      <c r="P61" s="52">
        <f t="shared" si="37"/>
        <v>-30335</v>
      </c>
      <c r="Q61" s="52">
        <f t="shared" si="37"/>
        <v>-2759</v>
      </c>
      <c r="R61" s="52">
        <f t="shared" si="36"/>
        <v>-93850</v>
      </c>
      <c r="S61" s="52">
        <f>I61-H44</f>
        <v>-93850</v>
      </c>
      <c r="T61" s="52">
        <f t="shared" si="35"/>
        <v>-187700</v>
      </c>
    </row>
    <row r="62" spans="2:20" ht="11.1" hidden="1" customHeight="1" outlineLevel="1" x14ac:dyDescent="0.2">
      <c r="B62" s="233" t="s">
        <v>206</v>
      </c>
      <c r="C62" s="234"/>
      <c r="D62" s="49"/>
      <c r="E62" s="49"/>
      <c r="F62" s="49"/>
      <c r="G62" s="49"/>
      <c r="H62" s="49"/>
      <c r="I62" s="49"/>
      <c r="J62" s="49"/>
      <c r="L62" s="233" t="s">
        <v>206</v>
      </c>
      <c r="M62" s="234"/>
      <c r="N62" s="49">
        <f>N59-N60-N61</f>
        <v>-27827</v>
      </c>
      <c r="O62" s="49">
        <f>O59-O60-O61</f>
        <v>-23954</v>
      </c>
      <c r="P62" s="49">
        <f>P59-P60-P61</f>
        <v>-17023</v>
      </c>
      <c r="Q62" s="49">
        <f>Q59-Q60-Q61</f>
        <v>3126</v>
      </c>
      <c r="R62" s="49">
        <f t="shared" si="36"/>
        <v>-65678</v>
      </c>
      <c r="S62" s="49">
        <f>S59-S60-S61</f>
        <v>-65678</v>
      </c>
      <c r="T62" s="49">
        <f t="shared" si="35"/>
        <v>-131356</v>
      </c>
    </row>
    <row r="63" spans="2:20" ht="11.1" hidden="1" customHeight="1" outlineLevel="1" x14ac:dyDescent="0.2">
      <c r="B63" s="235" t="s">
        <v>207</v>
      </c>
      <c r="C63" s="236"/>
      <c r="D63" s="52"/>
      <c r="E63" s="52"/>
      <c r="F63" s="52"/>
      <c r="G63" s="52"/>
      <c r="H63" s="52"/>
      <c r="I63" s="52"/>
      <c r="J63" s="52"/>
      <c r="L63" s="235" t="s">
        <v>207</v>
      </c>
      <c r="M63" s="236"/>
      <c r="N63" s="52">
        <f t="shared" ref="N63:Q65" si="38">D63-D46</f>
        <v>3810</v>
      </c>
      <c r="O63" s="52">
        <f t="shared" si="38"/>
        <v>748</v>
      </c>
      <c r="P63" s="52">
        <f t="shared" si="38"/>
        <v>1805</v>
      </c>
      <c r="Q63" s="52">
        <f t="shared" si="38"/>
        <v>0</v>
      </c>
      <c r="R63" s="52">
        <f t="shared" si="36"/>
        <v>6363</v>
      </c>
      <c r="S63" s="52">
        <f>I63-H46</f>
        <v>6363</v>
      </c>
      <c r="T63" s="52">
        <f t="shared" si="35"/>
        <v>12726</v>
      </c>
    </row>
    <row r="64" spans="2:20" ht="11.1" hidden="1" customHeight="1" outlineLevel="1" x14ac:dyDescent="0.2">
      <c r="B64" s="237" t="s">
        <v>208</v>
      </c>
      <c r="C64" s="250"/>
      <c r="D64" s="52"/>
      <c r="E64" s="52"/>
      <c r="F64" s="52"/>
      <c r="G64" s="52"/>
      <c r="H64" s="52"/>
      <c r="I64" s="52"/>
      <c r="J64" s="52"/>
      <c r="L64" s="237" t="s">
        <v>208</v>
      </c>
      <c r="M64" s="250"/>
      <c r="N64" s="52">
        <f t="shared" si="38"/>
        <v>0</v>
      </c>
      <c r="O64" s="52">
        <f t="shared" si="38"/>
        <v>0</v>
      </c>
      <c r="P64" s="52">
        <f t="shared" si="38"/>
        <v>-859</v>
      </c>
      <c r="Q64" s="52">
        <f t="shared" si="38"/>
        <v>0</v>
      </c>
      <c r="R64" s="52">
        <f t="shared" si="36"/>
        <v>-859</v>
      </c>
      <c r="S64" s="52">
        <f>I64-H47</f>
        <v>-859</v>
      </c>
      <c r="T64" s="52">
        <f t="shared" si="35"/>
        <v>-1718</v>
      </c>
    </row>
    <row r="65" spans="2:20" ht="11.1" hidden="1" customHeight="1" outlineLevel="1" x14ac:dyDescent="0.2">
      <c r="B65" s="237" t="s">
        <v>27</v>
      </c>
      <c r="C65" s="250"/>
      <c r="D65" s="52"/>
      <c r="E65" s="52"/>
      <c r="F65" s="52"/>
      <c r="G65" s="52"/>
      <c r="H65" s="52"/>
      <c r="I65" s="52"/>
      <c r="J65" s="52"/>
      <c r="L65" s="237" t="s">
        <v>27</v>
      </c>
      <c r="M65" s="250"/>
      <c r="N65" s="52">
        <f t="shared" si="38"/>
        <v>0</v>
      </c>
      <c r="O65" s="52">
        <f t="shared" si="38"/>
        <v>0</v>
      </c>
      <c r="P65" s="52">
        <f t="shared" si="38"/>
        <v>0</v>
      </c>
      <c r="Q65" s="52">
        <f t="shared" si="38"/>
        <v>0</v>
      </c>
      <c r="R65" s="52">
        <f t="shared" si="36"/>
        <v>0</v>
      </c>
      <c r="S65" s="52">
        <f>I65-H48</f>
        <v>0</v>
      </c>
      <c r="T65" s="52">
        <f t="shared" si="35"/>
        <v>0</v>
      </c>
    </row>
    <row r="66" spans="2:20" ht="11.1" hidden="1" customHeight="1" outlineLevel="1" x14ac:dyDescent="0.2">
      <c r="B66" s="233" t="s">
        <v>209</v>
      </c>
      <c r="C66" s="234"/>
      <c r="D66" s="49"/>
      <c r="E66" s="49"/>
      <c r="F66" s="49"/>
      <c r="G66" s="49"/>
      <c r="H66" s="49"/>
      <c r="I66" s="49"/>
      <c r="J66" s="49"/>
      <c r="L66" s="233" t="s">
        <v>209</v>
      </c>
      <c r="M66" s="234"/>
      <c r="N66" s="49">
        <f t="shared" ref="N66:Q66" si="39">N62+N63+N64+N65</f>
        <v>-24017</v>
      </c>
      <c r="O66" s="49">
        <f t="shared" si="39"/>
        <v>-23206</v>
      </c>
      <c r="P66" s="49">
        <f t="shared" si="39"/>
        <v>-16077</v>
      </c>
      <c r="Q66" s="49">
        <f t="shared" si="39"/>
        <v>3126</v>
      </c>
      <c r="R66" s="49">
        <f t="shared" si="36"/>
        <v>-60174</v>
      </c>
      <c r="S66" s="49">
        <f>S62+S63+S65</f>
        <v>-59315</v>
      </c>
      <c r="T66" s="49">
        <f t="shared" si="35"/>
        <v>-119489</v>
      </c>
    </row>
    <row r="67" spans="2:20" ht="11.1" hidden="1" customHeight="1" outlineLevel="1" x14ac:dyDescent="0.2">
      <c r="B67" s="75" t="s">
        <v>22</v>
      </c>
      <c r="C67" s="76"/>
      <c r="D67" s="49"/>
      <c r="E67" s="49"/>
      <c r="F67" s="49"/>
      <c r="G67" s="49"/>
      <c r="H67" s="49"/>
      <c r="I67" s="49"/>
      <c r="J67" s="49"/>
      <c r="L67" s="75" t="s">
        <v>22</v>
      </c>
      <c r="M67" s="76"/>
      <c r="N67" s="49">
        <f>D67-D50</f>
        <v>-20106</v>
      </c>
      <c r="O67" s="49">
        <f>E67-E50</f>
        <v>-11777</v>
      </c>
      <c r="P67" s="49">
        <f>F67-F50</f>
        <v>-7606</v>
      </c>
      <c r="Q67" s="49">
        <f>G67-G50</f>
        <v>0</v>
      </c>
      <c r="R67" s="49">
        <f t="shared" si="36"/>
        <v>-39489</v>
      </c>
      <c r="S67" s="49">
        <f>I67-H50</f>
        <v>-39489</v>
      </c>
      <c r="T67" s="49">
        <f t="shared" si="35"/>
        <v>-78978</v>
      </c>
    </row>
    <row r="68" spans="2:20" ht="11.1" hidden="1" customHeight="1" outlineLevel="1" x14ac:dyDescent="0.2">
      <c r="B68" s="233" t="s">
        <v>23</v>
      </c>
      <c r="C68" s="234"/>
      <c r="D68" s="49"/>
      <c r="E68" s="49"/>
      <c r="F68" s="49"/>
      <c r="G68" s="49"/>
      <c r="H68" s="49"/>
      <c r="I68" s="49"/>
      <c r="J68" s="49"/>
      <c r="L68" s="233" t="s">
        <v>23</v>
      </c>
      <c r="M68" s="234"/>
      <c r="N68" s="49">
        <f>N66+N67</f>
        <v>-44123</v>
      </c>
      <c r="O68" s="49">
        <f t="shared" ref="O68:Q68" si="40">O66+O67</f>
        <v>-34983</v>
      </c>
      <c r="P68" s="49">
        <f t="shared" si="40"/>
        <v>-23683</v>
      </c>
      <c r="Q68" s="49">
        <f t="shared" si="40"/>
        <v>3126</v>
      </c>
      <c r="R68" s="49">
        <f t="shared" si="36"/>
        <v>-99663</v>
      </c>
      <c r="S68" s="49">
        <f>S66+S67</f>
        <v>-98804</v>
      </c>
      <c r="T68" s="49">
        <f t="shared" si="35"/>
        <v>-198467</v>
      </c>
    </row>
    <row r="69" spans="2:20" ht="11.1" hidden="1" customHeight="1" outlineLevel="1" x14ac:dyDescent="0.2"/>
    <row r="70" spans="2:20" ht="11.1" customHeight="1" collapsed="1" x14ac:dyDescent="0.2"/>
  </sheetData>
  <mergeCells count="160">
    <mergeCell ref="S54:S55"/>
    <mergeCell ref="T54:T55"/>
    <mergeCell ref="L56:Q56"/>
    <mergeCell ref="L59:M59"/>
    <mergeCell ref="L54:M55"/>
    <mergeCell ref="N54:N55"/>
    <mergeCell ref="O54:O55"/>
    <mergeCell ref="P54:P55"/>
    <mergeCell ref="Q54:Q55"/>
    <mergeCell ref="R54:R55"/>
    <mergeCell ref="R37:R38"/>
    <mergeCell ref="S37:S38"/>
    <mergeCell ref="T37:T38"/>
    <mergeCell ref="L37:M38"/>
    <mergeCell ref="N37:N38"/>
    <mergeCell ref="L24:M24"/>
    <mergeCell ref="L25:M25"/>
    <mergeCell ref="L26:M26"/>
    <mergeCell ref="R20:R21"/>
    <mergeCell ref="S20:S21"/>
    <mergeCell ref="T20:T21"/>
    <mergeCell ref="L22:Q22"/>
    <mergeCell ref="L23:M23"/>
    <mergeCell ref="L20:M21"/>
    <mergeCell ref="N20:N21"/>
    <mergeCell ref="O20:O21"/>
    <mergeCell ref="P20:P21"/>
    <mergeCell ref="Q20:Q21"/>
    <mergeCell ref="O37:O38"/>
    <mergeCell ref="P37:P38"/>
    <mergeCell ref="Q37:Q38"/>
    <mergeCell ref="Q3:Q4"/>
    <mergeCell ref="R3:R4"/>
    <mergeCell ref="S3:S4"/>
    <mergeCell ref="T3:T4"/>
    <mergeCell ref="L5:Q5"/>
    <mergeCell ref="L3:M4"/>
    <mergeCell ref="N3:N4"/>
    <mergeCell ref="O3:O4"/>
    <mergeCell ref="P3:P4"/>
    <mergeCell ref="B66:C66"/>
    <mergeCell ref="B68:C68"/>
    <mergeCell ref="L68:M68"/>
    <mergeCell ref="B63:C63"/>
    <mergeCell ref="B64:C64"/>
    <mergeCell ref="B65:C65"/>
    <mergeCell ref="B60:C60"/>
    <mergeCell ref="L60:M60"/>
    <mergeCell ref="B61:C61"/>
    <mergeCell ref="B62:C62"/>
    <mergeCell ref="L64:M64"/>
    <mergeCell ref="L65:M65"/>
    <mergeCell ref="L66:M66"/>
    <mergeCell ref="L61:M61"/>
    <mergeCell ref="L62:M62"/>
    <mergeCell ref="L63:M63"/>
    <mergeCell ref="B57:C57"/>
    <mergeCell ref="L57:M57"/>
    <mergeCell ref="B58:C58"/>
    <mergeCell ref="L58:M58"/>
    <mergeCell ref="B59:C59"/>
    <mergeCell ref="B56:G56"/>
    <mergeCell ref="I54:I55"/>
    <mergeCell ref="J54:J55"/>
    <mergeCell ref="B54:C55"/>
    <mergeCell ref="D54:D55"/>
    <mergeCell ref="E54:E55"/>
    <mergeCell ref="F54:F55"/>
    <mergeCell ref="G54:G55"/>
    <mergeCell ref="H54:H55"/>
    <mergeCell ref="B49:C49"/>
    <mergeCell ref="L49:M49"/>
    <mergeCell ref="B51:C51"/>
    <mergeCell ref="L51:M51"/>
    <mergeCell ref="B46:C46"/>
    <mergeCell ref="B47:C47"/>
    <mergeCell ref="L47:M47"/>
    <mergeCell ref="B48:C48"/>
    <mergeCell ref="L48:M48"/>
    <mergeCell ref="L46:M46"/>
    <mergeCell ref="B44:C44"/>
    <mergeCell ref="B45:C45"/>
    <mergeCell ref="B40:C40"/>
    <mergeCell ref="B41:C41"/>
    <mergeCell ref="L41:M41"/>
    <mergeCell ref="B42:C42"/>
    <mergeCell ref="B39:G39"/>
    <mergeCell ref="I37:I38"/>
    <mergeCell ref="J37:J38"/>
    <mergeCell ref="B37:C38"/>
    <mergeCell ref="D37:D38"/>
    <mergeCell ref="E37:E38"/>
    <mergeCell ref="F37:F38"/>
    <mergeCell ref="G37:G38"/>
    <mergeCell ref="H37:H38"/>
    <mergeCell ref="L44:M44"/>
    <mergeCell ref="L45:M45"/>
    <mergeCell ref="L39:Q39"/>
    <mergeCell ref="L40:M40"/>
    <mergeCell ref="L42:M42"/>
    <mergeCell ref="L43:M43"/>
    <mergeCell ref="B34:C34"/>
    <mergeCell ref="L34:M34"/>
    <mergeCell ref="B29:C29"/>
    <mergeCell ref="L29:M29"/>
    <mergeCell ref="B30:C30"/>
    <mergeCell ref="L30:M30"/>
    <mergeCell ref="B31:C31"/>
    <mergeCell ref="L31:M31"/>
    <mergeCell ref="B43:C43"/>
    <mergeCell ref="B27:C27"/>
    <mergeCell ref="L27:M27"/>
    <mergeCell ref="B28:C28"/>
    <mergeCell ref="L28:M28"/>
    <mergeCell ref="B23:C23"/>
    <mergeCell ref="B24:C24"/>
    <mergeCell ref="B25:C25"/>
    <mergeCell ref="B22:G22"/>
    <mergeCell ref="B32:C32"/>
    <mergeCell ref="L32:M32"/>
    <mergeCell ref="I20:I21"/>
    <mergeCell ref="J20:J21"/>
    <mergeCell ref="B20:C21"/>
    <mergeCell ref="D20:D21"/>
    <mergeCell ref="E20:E21"/>
    <mergeCell ref="F20:F21"/>
    <mergeCell ref="G20:G21"/>
    <mergeCell ref="H20:H21"/>
    <mergeCell ref="B26:C26"/>
    <mergeCell ref="B15:C15"/>
    <mergeCell ref="L15:M15"/>
    <mergeCell ref="B17:C17"/>
    <mergeCell ref="L17:M17"/>
    <mergeCell ref="B12:C12"/>
    <mergeCell ref="L12:M12"/>
    <mergeCell ref="B13:C13"/>
    <mergeCell ref="L13:M13"/>
    <mergeCell ref="B14:C14"/>
    <mergeCell ref="L14:M14"/>
    <mergeCell ref="B9:C9"/>
    <mergeCell ref="L9:M9"/>
    <mergeCell ref="B10:C10"/>
    <mergeCell ref="L10:M10"/>
    <mergeCell ref="B11:C11"/>
    <mergeCell ref="L11:M11"/>
    <mergeCell ref="B6:C6"/>
    <mergeCell ref="B7:C7"/>
    <mergeCell ref="B8:C8"/>
    <mergeCell ref="L6:M6"/>
    <mergeCell ref="L7:M7"/>
    <mergeCell ref="L8:M8"/>
    <mergeCell ref="B5:G5"/>
    <mergeCell ref="I3:I4"/>
    <mergeCell ref="J3:J4"/>
    <mergeCell ref="B3:C4"/>
    <mergeCell ref="D3:D4"/>
    <mergeCell ref="E3:E4"/>
    <mergeCell ref="F3:F4"/>
    <mergeCell ref="G3:G4"/>
    <mergeCell ref="H3:H4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05B81B-5161-41FD-886B-896BDFC1488F}">
  <sheetPr>
    <tabColor theme="0" tint="-0.34998626667073579"/>
  </sheetPr>
  <dimension ref="B1:AC34"/>
  <sheetViews>
    <sheetView showGridLines="0" zoomScaleNormal="100" zoomScaleSheetLayoutView="100" workbookViewId="0">
      <pane xSplit="3" ySplit="1" topLeftCell="D2" activePane="bottomRight" state="frozen"/>
      <selection activeCell="Q2" sqref="Q2"/>
      <selection pane="topRight" activeCell="Q2" sqref="Q2"/>
      <selection pane="bottomLeft" activeCell="Q2" sqref="Q2"/>
      <selection pane="bottomRight" activeCell="L31" sqref="L31:O31"/>
    </sheetView>
  </sheetViews>
  <sheetFormatPr defaultColWidth="9.140625" defaultRowHeight="12" customHeight="1" x14ac:dyDescent="0.2"/>
  <cols>
    <col min="1" max="1" width="1.140625" style="46" customWidth="1"/>
    <col min="2" max="2" width="2.5703125" style="47" customWidth="1"/>
    <col min="3" max="3" width="32.7109375" style="54" customWidth="1"/>
    <col min="4" max="24" width="9.28515625" style="46" customWidth="1"/>
    <col min="25" max="16384" width="9.140625" style="46"/>
  </cols>
  <sheetData>
    <row r="1" spans="2:28" s="1" customFormat="1" ht="12" hidden="1" customHeight="1" x14ac:dyDescent="0.2">
      <c r="C1" s="2"/>
    </row>
    <row r="2" spans="2:28" s="1" customFormat="1" ht="12" hidden="1" customHeight="1" x14ac:dyDescent="0.2">
      <c r="C2" s="2"/>
    </row>
    <row r="3" spans="2:28" s="1" customFormat="1" ht="12" hidden="1" customHeight="1" x14ac:dyDescent="0.2">
      <c r="C3" s="2"/>
    </row>
    <row r="4" spans="2:28" s="1" customFormat="1" ht="12" hidden="1" customHeight="1" x14ac:dyDescent="0.2">
      <c r="C4" s="2"/>
    </row>
    <row r="5" spans="2:28" s="1" customFormat="1" ht="12" customHeight="1" x14ac:dyDescent="0.2">
      <c r="C5" s="2"/>
    </row>
    <row r="6" spans="2:28" ht="12" customHeight="1" x14ac:dyDescent="0.2">
      <c r="B6" s="97" t="s">
        <v>258</v>
      </c>
      <c r="C6" s="72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</row>
    <row r="7" spans="2:28" ht="12" customHeight="1" x14ac:dyDescent="0.2">
      <c r="B7" s="244" t="s">
        <v>59</v>
      </c>
      <c r="C7" s="257"/>
      <c r="D7" s="256" t="s">
        <v>122</v>
      </c>
      <c r="E7" s="219"/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U7" s="199" t="s">
        <v>122</v>
      </c>
      <c r="V7" s="179"/>
      <c r="W7" s="179"/>
      <c r="X7" s="180"/>
    </row>
    <row r="8" spans="2:28" ht="12" customHeight="1" x14ac:dyDescent="0.2">
      <c r="B8" s="258"/>
      <c r="C8" s="259"/>
      <c r="D8" s="4" t="s">
        <v>235</v>
      </c>
      <c r="E8" s="4" t="s">
        <v>236</v>
      </c>
      <c r="F8" s="4" t="s">
        <v>237</v>
      </c>
      <c r="G8" s="4" t="s">
        <v>238</v>
      </c>
      <c r="H8" s="4" t="s">
        <v>239</v>
      </c>
      <c r="I8" s="4" t="s">
        <v>240</v>
      </c>
      <c r="J8" s="4" t="s">
        <v>241</v>
      </c>
      <c r="K8" s="4" t="s">
        <v>242</v>
      </c>
      <c r="L8" s="4" t="s">
        <v>243</v>
      </c>
      <c r="M8" s="4" t="s">
        <v>244</v>
      </c>
      <c r="N8" s="4" t="s">
        <v>245</v>
      </c>
      <c r="O8" s="4" t="s">
        <v>246</v>
      </c>
      <c r="P8" s="4" t="s">
        <v>299</v>
      </c>
      <c r="Q8" s="4" t="s">
        <v>301</v>
      </c>
      <c r="R8" s="4" t="s">
        <v>305</v>
      </c>
      <c r="S8" s="4" t="s">
        <v>310</v>
      </c>
      <c r="U8" s="92">
        <v>2018</v>
      </c>
      <c r="V8" s="92">
        <v>2019</v>
      </c>
      <c r="W8" s="92">
        <v>2020</v>
      </c>
      <c r="X8" s="121">
        <v>2021</v>
      </c>
    </row>
    <row r="9" spans="2:28" ht="12" customHeight="1" x14ac:dyDescent="0.2">
      <c r="B9" s="251" t="s">
        <v>204</v>
      </c>
      <c r="C9" s="252"/>
      <c r="D9" s="52">
        <f>'Segmenty 2018'!N6</f>
        <v>76540</v>
      </c>
      <c r="E9" s="52">
        <f>'Segmenty 2018'!N23</f>
        <v>98059</v>
      </c>
      <c r="F9" s="52">
        <f>'Segmenty 2018'!N40</f>
        <v>96016</v>
      </c>
      <c r="G9" s="52">
        <f>'Segmenty 2018'!N57</f>
        <v>115307</v>
      </c>
      <c r="H9" s="52">
        <f>'Segmenty 2019'!N6</f>
        <v>95083</v>
      </c>
      <c r="I9" s="52">
        <f>'Segmenty 2019'!N23</f>
        <v>90028</v>
      </c>
      <c r="J9" s="52">
        <f>'Segmenty 2019'!N40</f>
        <v>94503</v>
      </c>
      <c r="K9" s="52">
        <f>'Segmenty 2019'!N57</f>
        <v>97657</v>
      </c>
      <c r="L9" s="52">
        <f>'Segmenty 2020'!N6</f>
        <v>83961</v>
      </c>
      <c r="M9" s="52">
        <f>'Segmenty 2020'!N23</f>
        <v>119621</v>
      </c>
      <c r="N9" s="52">
        <f>'Segmenty 2020'!N40</f>
        <v>132344</v>
      </c>
      <c r="O9" s="52">
        <v>108393</v>
      </c>
      <c r="P9" s="52">
        <v>84595</v>
      </c>
      <c r="Q9" s="52">
        <v>100091</v>
      </c>
      <c r="R9" s="52">
        <v>94678</v>
      </c>
      <c r="S9" s="52">
        <v>95679</v>
      </c>
      <c r="U9" s="52">
        <f>SUM(D9:G9)</f>
        <v>385922</v>
      </c>
      <c r="V9" s="52">
        <f>SUM(H9:K9)</f>
        <v>377271</v>
      </c>
      <c r="W9" s="52">
        <f>SUM(L9:O9)</f>
        <v>444319</v>
      </c>
      <c r="X9" s="52">
        <f>SUM($P9:S9)</f>
        <v>375043</v>
      </c>
    </row>
    <row r="10" spans="2:28" ht="12" customHeight="1" x14ac:dyDescent="0.2">
      <c r="B10" s="251" t="s">
        <v>33</v>
      </c>
      <c r="C10" s="252"/>
      <c r="D10" s="52">
        <f>'Segmenty 2018'!N7</f>
        <v>53671</v>
      </c>
      <c r="E10" s="52">
        <f>'Segmenty 2018'!N24</f>
        <v>67767</v>
      </c>
      <c r="F10" s="52">
        <f>'Segmenty 2018'!N41</f>
        <v>68349</v>
      </c>
      <c r="G10" s="52">
        <f>'Segmenty 2018'!N58</f>
        <v>77089</v>
      </c>
      <c r="H10" s="52">
        <f>'Segmenty 2019'!N7</f>
        <v>69117</v>
      </c>
      <c r="I10" s="52">
        <f>'Segmenty 2019'!N24</f>
        <v>64831</v>
      </c>
      <c r="J10" s="52">
        <f>'Segmenty 2019'!N41</f>
        <v>68276</v>
      </c>
      <c r="K10" s="52">
        <f>'Segmenty 2019'!N58</f>
        <v>79754</v>
      </c>
      <c r="L10" s="52">
        <v>61880</v>
      </c>
      <c r="M10" s="52">
        <v>94000</v>
      </c>
      <c r="N10" s="52">
        <v>106361</v>
      </c>
      <c r="O10" s="52">
        <f>82478+1</f>
        <v>82479</v>
      </c>
      <c r="P10" s="52">
        <v>66516</v>
      </c>
      <c r="Q10" s="52">
        <v>85047</v>
      </c>
      <c r="R10" s="52">
        <v>80313</v>
      </c>
      <c r="S10" s="52">
        <v>80748</v>
      </c>
      <c r="U10" s="52">
        <f>SUM(D10:G10)</f>
        <v>266876</v>
      </c>
      <c r="V10" s="52">
        <f>SUM(H10:K10)</f>
        <v>281978</v>
      </c>
      <c r="W10" s="52">
        <f>SUM(L10:O10)</f>
        <v>344720</v>
      </c>
      <c r="X10" s="52">
        <f>SUM($P10:S10)</f>
        <v>312624</v>
      </c>
      <c r="AB10" s="114"/>
    </row>
    <row r="11" spans="2:28" ht="12" customHeight="1" x14ac:dyDescent="0.2">
      <c r="B11" s="187" t="s">
        <v>205</v>
      </c>
      <c r="C11" s="187"/>
      <c r="D11" s="44">
        <f>D9-D10</f>
        <v>22869</v>
      </c>
      <c r="E11" s="44">
        <f t="shared" ref="E11:R11" si="0">E9-E10</f>
        <v>30292</v>
      </c>
      <c r="F11" s="44">
        <f t="shared" si="0"/>
        <v>27667</v>
      </c>
      <c r="G11" s="44">
        <f t="shared" si="0"/>
        <v>38218</v>
      </c>
      <c r="H11" s="44">
        <f t="shared" si="0"/>
        <v>25966</v>
      </c>
      <c r="I11" s="44">
        <f t="shared" si="0"/>
        <v>25197</v>
      </c>
      <c r="J11" s="44">
        <f t="shared" si="0"/>
        <v>26227</v>
      </c>
      <c r="K11" s="44">
        <f t="shared" si="0"/>
        <v>17903</v>
      </c>
      <c r="L11" s="44">
        <f t="shared" si="0"/>
        <v>22081</v>
      </c>
      <c r="M11" s="44">
        <f t="shared" si="0"/>
        <v>25621</v>
      </c>
      <c r="N11" s="44">
        <f t="shared" si="0"/>
        <v>25983</v>
      </c>
      <c r="O11" s="44">
        <f t="shared" si="0"/>
        <v>25914</v>
      </c>
      <c r="P11" s="44">
        <f t="shared" si="0"/>
        <v>18079</v>
      </c>
      <c r="Q11" s="44">
        <f t="shared" si="0"/>
        <v>15044</v>
      </c>
      <c r="R11" s="44">
        <f t="shared" si="0"/>
        <v>14365</v>
      </c>
      <c r="S11" s="44">
        <f t="shared" ref="S11" si="1">S9-S10</f>
        <v>14931</v>
      </c>
      <c r="U11" s="44">
        <f t="shared" ref="U11" si="2">U9-U10</f>
        <v>119046</v>
      </c>
      <c r="V11" s="44">
        <f t="shared" ref="V11" si="3">V9-V10</f>
        <v>95293</v>
      </c>
      <c r="W11" s="44">
        <f t="shared" ref="W11:X11" si="4">W9-W10</f>
        <v>99599</v>
      </c>
      <c r="X11" s="44">
        <f t="shared" si="4"/>
        <v>62419</v>
      </c>
      <c r="AB11" s="114"/>
    </row>
    <row r="12" spans="2:28" ht="12" customHeight="1" x14ac:dyDescent="0.2">
      <c r="B12" s="235" t="s">
        <v>4</v>
      </c>
      <c r="C12" s="236"/>
      <c r="D12" s="52">
        <f>'Segmenty 2018'!N9</f>
        <v>3971</v>
      </c>
      <c r="E12" s="52">
        <f>'Segmenty 2018'!N26</f>
        <v>4371</v>
      </c>
      <c r="F12" s="52">
        <f>'Segmenty 2018'!N43</f>
        <v>3991</v>
      </c>
      <c r="G12" s="52">
        <f>'Segmenty 2018'!N60</f>
        <v>4975</v>
      </c>
      <c r="H12" s="52">
        <f>'Segmenty 2019'!N9</f>
        <v>3538</v>
      </c>
      <c r="I12" s="52">
        <f>'Segmenty 2019'!N26</f>
        <v>4761</v>
      </c>
      <c r="J12" s="52">
        <f>'Segmenty 2019'!N43</f>
        <v>4073</v>
      </c>
      <c r="K12" s="52">
        <f>'Segmenty 2019'!N60</f>
        <v>4089</v>
      </c>
      <c r="L12" s="52">
        <f>'Segmenty 2020'!N9</f>
        <v>3695</v>
      </c>
      <c r="M12" s="52">
        <f>'Segmenty 2020'!N26</f>
        <v>3439</v>
      </c>
      <c r="N12" s="52">
        <f>'Segmenty 2020'!N43</f>
        <v>3199</v>
      </c>
      <c r="O12" s="52">
        <v>3394</v>
      </c>
      <c r="P12" s="52">
        <v>3221</v>
      </c>
      <c r="Q12" s="52">
        <v>3267</v>
      </c>
      <c r="R12" s="52">
        <v>3617</v>
      </c>
      <c r="S12" s="52">
        <v>3955</v>
      </c>
      <c r="U12" s="52">
        <f t="shared" ref="U12:U13" si="5">SUM(D12:G12)</f>
        <v>17308</v>
      </c>
      <c r="V12" s="52">
        <f t="shared" ref="V12:V13" si="6">SUM(H12:K12)</f>
        <v>16461</v>
      </c>
      <c r="W12" s="52">
        <f t="shared" ref="W12:W13" si="7">SUM(L12:O12)</f>
        <v>13727</v>
      </c>
      <c r="X12" s="52">
        <f>SUM($P12:S12)</f>
        <v>14060</v>
      </c>
      <c r="AB12" s="114"/>
    </row>
    <row r="13" spans="2:28" ht="12" customHeight="1" x14ac:dyDescent="0.2">
      <c r="B13" s="235" t="s">
        <v>5</v>
      </c>
      <c r="C13" s="236"/>
      <c r="D13" s="52">
        <f>'Segmenty 2018'!N10</f>
        <v>14526</v>
      </c>
      <c r="E13" s="52">
        <f>'Segmenty 2018'!N27</f>
        <v>14687</v>
      </c>
      <c r="F13" s="52">
        <f>'Segmenty 2018'!N44</f>
        <v>13302</v>
      </c>
      <c r="G13" s="52">
        <f>'Segmenty 2018'!N61</f>
        <v>15116</v>
      </c>
      <c r="H13" s="52">
        <f>'Segmenty 2019'!N10</f>
        <v>15004</v>
      </c>
      <c r="I13" s="52">
        <f>'Segmenty 2019'!N27</f>
        <v>14777</v>
      </c>
      <c r="J13" s="52">
        <f>'Segmenty 2019'!N44</f>
        <v>13183</v>
      </c>
      <c r="K13" s="52">
        <f>'Segmenty 2019'!N61</f>
        <v>13479</v>
      </c>
      <c r="L13" s="52">
        <f>'Segmenty 2020'!N10</f>
        <v>13736</v>
      </c>
      <c r="M13" s="52">
        <f>'Segmenty 2020'!N27</f>
        <v>13895</v>
      </c>
      <c r="N13" s="52">
        <v>13452</v>
      </c>
      <c r="O13" s="52">
        <v>13547</v>
      </c>
      <c r="P13" s="52">
        <v>13492</v>
      </c>
      <c r="Q13" s="52">
        <v>12810</v>
      </c>
      <c r="R13" s="52">
        <v>11169</v>
      </c>
      <c r="S13" s="52">
        <f>14453-1</f>
        <v>14452</v>
      </c>
      <c r="U13" s="52">
        <f t="shared" si="5"/>
        <v>57631</v>
      </c>
      <c r="V13" s="52">
        <f t="shared" si="6"/>
        <v>56443</v>
      </c>
      <c r="W13" s="52">
        <f t="shared" si="7"/>
        <v>54630</v>
      </c>
      <c r="X13" s="52">
        <f>SUM($P13:S13)</f>
        <v>51923</v>
      </c>
      <c r="AB13" s="114"/>
    </row>
    <row r="14" spans="2:28" ht="12" customHeight="1" x14ac:dyDescent="0.2">
      <c r="B14" s="187" t="s">
        <v>206</v>
      </c>
      <c r="C14" s="187"/>
      <c r="D14" s="44">
        <f>D11-D12-D13</f>
        <v>4372</v>
      </c>
      <c r="E14" s="44">
        <f t="shared" ref="E14:R14" si="8">E11-E12-E13</f>
        <v>11234</v>
      </c>
      <c r="F14" s="44">
        <f t="shared" si="8"/>
        <v>10374</v>
      </c>
      <c r="G14" s="44">
        <f t="shared" si="8"/>
        <v>18127</v>
      </c>
      <c r="H14" s="44">
        <f t="shared" si="8"/>
        <v>7424</v>
      </c>
      <c r="I14" s="44">
        <f t="shared" si="8"/>
        <v>5659</v>
      </c>
      <c r="J14" s="44">
        <f t="shared" si="8"/>
        <v>8971</v>
      </c>
      <c r="K14" s="44">
        <f t="shared" si="8"/>
        <v>335</v>
      </c>
      <c r="L14" s="44">
        <f t="shared" si="8"/>
        <v>4650</v>
      </c>
      <c r="M14" s="44">
        <f t="shared" si="8"/>
        <v>8287</v>
      </c>
      <c r="N14" s="44">
        <f t="shared" si="8"/>
        <v>9332</v>
      </c>
      <c r="O14" s="44">
        <f t="shared" si="8"/>
        <v>8973</v>
      </c>
      <c r="P14" s="44">
        <f t="shared" si="8"/>
        <v>1366</v>
      </c>
      <c r="Q14" s="44">
        <f t="shared" si="8"/>
        <v>-1033</v>
      </c>
      <c r="R14" s="44">
        <f t="shared" si="8"/>
        <v>-421</v>
      </c>
      <c r="S14" s="44">
        <f t="shared" ref="S14" si="9">S11-S12-S13</f>
        <v>-3476</v>
      </c>
      <c r="U14" s="44">
        <f t="shared" ref="U14" si="10">U11-U12-U13</f>
        <v>44107</v>
      </c>
      <c r="V14" s="44">
        <f t="shared" ref="V14" si="11">V11-V12-V13</f>
        <v>22389</v>
      </c>
      <c r="W14" s="44">
        <f t="shared" ref="W14:X14" si="12">W11-W12-W13</f>
        <v>31242</v>
      </c>
      <c r="X14" s="44">
        <f t="shared" si="12"/>
        <v>-3564</v>
      </c>
      <c r="AB14" s="114"/>
    </row>
    <row r="15" spans="2:28" ht="12" customHeight="1" x14ac:dyDescent="0.2">
      <c r="B15" s="235" t="s">
        <v>207</v>
      </c>
      <c r="C15" s="236"/>
      <c r="D15" s="52">
        <f>'Segmenty 2018'!N12</f>
        <v>-428</v>
      </c>
      <c r="E15" s="52">
        <f>'Segmenty 2018'!N29</f>
        <v>-334</v>
      </c>
      <c r="F15" s="52">
        <f>'Segmenty 2018'!N46</f>
        <v>-2042</v>
      </c>
      <c r="G15" s="52">
        <f>'Segmenty 2018'!N63</f>
        <v>-3358</v>
      </c>
      <c r="H15" s="52">
        <f>'Segmenty 2019'!N12</f>
        <v>-252</v>
      </c>
      <c r="I15" s="52">
        <f>'Segmenty 2019'!N29</f>
        <v>-407</v>
      </c>
      <c r="J15" s="52">
        <f>'Segmenty 2019'!N46</f>
        <v>-3963</v>
      </c>
      <c r="K15" s="52">
        <f>'Segmenty 2019'!N63</f>
        <v>5666</v>
      </c>
      <c r="L15" s="52">
        <v>651</v>
      </c>
      <c r="M15" s="52">
        <v>-1100</v>
      </c>
      <c r="N15" s="52">
        <v>2198</v>
      </c>
      <c r="O15" s="52">
        <v>1196</v>
      </c>
      <c r="P15" s="52">
        <v>1474</v>
      </c>
      <c r="Q15" s="52">
        <v>8</v>
      </c>
      <c r="R15" s="165">
        <v>2211</v>
      </c>
      <c r="S15" s="165">
        <v>1463</v>
      </c>
      <c r="U15" s="52">
        <f t="shared" ref="U15:U17" si="13">SUM(D15:G15)</f>
        <v>-6162</v>
      </c>
      <c r="V15" s="52">
        <f t="shared" ref="V15:V17" si="14">SUM(H15:K15)</f>
        <v>1044</v>
      </c>
      <c r="W15" s="52">
        <f t="shared" ref="W15:W17" si="15">SUM(L15:O15)</f>
        <v>2945</v>
      </c>
      <c r="X15" s="52">
        <f>SUM($P15:S15)</f>
        <v>5156</v>
      </c>
      <c r="AB15" s="114"/>
    </row>
    <row r="16" spans="2:28" ht="12" customHeight="1" x14ac:dyDescent="0.2">
      <c r="B16" s="237" t="s">
        <v>208</v>
      </c>
      <c r="C16" s="250"/>
      <c r="D16" s="52">
        <f>'Segmenty 2018'!N13</f>
        <v>0</v>
      </c>
      <c r="E16" s="52">
        <f>'Segmenty 2018'!N30</f>
        <v>0</v>
      </c>
      <c r="F16" s="52">
        <f>'Segmenty 2018'!N47</f>
        <v>0</v>
      </c>
      <c r="G16" s="52">
        <f>'Segmenty 2018'!N64</f>
        <v>0</v>
      </c>
      <c r="H16" s="52">
        <f>'Segmenty 2019'!N13</f>
        <v>0</v>
      </c>
      <c r="I16" s="52">
        <f>'Segmenty 2019'!N30</f>
        <v>0</v>
      </c>
      <c r="J16" s="52">
        <f>'Segmenty 2019'!N47</f>
        <v>0</v>
      </c>
      <c r="K16" s="52">
        <f>'Segmenty 2019'!N64</f>
        <v>0</v>
      </c>
      <c r="L16" s="52">
        <f>'Segmenty 2020'!N13</f>
        <v>0</v>
      </c>
      <c r="M16" s="52">
        <f>'Segmenty 2020'!N30</f>
        <v>0</v>
      </c>
      <c r="N16" s="52">
        <f>'Segmenty 2020'!N47</f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U16" s="52">
        <f t="shared" si="13"/>
        <v>0</v>
      </c>
      <c r="V16" s="52">
        <f t="shared" si="14"/>
        <v>0</v>
      </c>
      <c r="W16" s="52">
        <f t="shared" si="15"/>
        <v>0</v>
      </c>
      <c r="X16" s="52">
        <f>SUM($P16:S16)</f>
        <v>0</v>
      </c>
      <c r="AB16" s="114"/>
    </row>
    <row r="17" spans="2:29" ht="12" customHeight="1" x14ac:dyDescent="0.2">
      <c r="B17" s="237" t="s">
        <v>27</v>
      </c>
      <c r="C17" s="250"/>
      <c r="D17" s="52">
        <f>'Segmenty 2018'!N14</f>
        <v>0</v>
      </c>
      <c r="E17" s="52">
        <f>'Segmenty 2018'!N31</f>
        <v>0</v>
      </c>
      <c r="F17" s="52">
        <f>'Segmenty 2018'!N48</f>
        <v>0</v>
      </c>
      <c r="G17" s="52">
        <f>'Segmenty 2018'!N65</f>
        <v>0</v>
      </c>
      <c r="H17" s="52">
        <f>'Segmenty 2019'!N14</f>
        <v>0</v>
      </c>
      <c r="I17" s="52">
        <f>'Segmenty 2019'!N31</f>
        <v>0</v>
      </c>
      <c r="J17" s="52">
        <f>'Segmenty 2019'!N48</f>
        <v>0</v>
      </c>
      <c r="K17" s="52">
        <f>'Segmenty 2019'!N65</f>
        <v>0</v>
      </c>
      <c r="L17" s="52">
        <f>'Segmenty 2020'!N14</f>
        <v>0</v>
      </c>
      <c r="M17" s="52">
        <f>'Segmenty 2020'!N31</f>
        <v>0</v>
      </c>
      <c r="N17" s="52">
        <f>'Segmenty 2020'!N48</f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U17" s="52">
        <f t="shared" si="13"/>
        <v>0</v>
      </c>
      <c r="V17" s="52">
        <f t="shared" si="14"/>
        <v>0</v>
      </c>
      <c r="W17" s="52">
        <f t="shared" si="15"/>
        <v>0</v>
      </c>
      <c r="X17" s="52">
        <f>SUM($P17:S17)</f>
        <v>0</v>
      </c>
      <c r="AB17" s="114"/>
    </row>
    <row r="18" spans="2:29" ht="12" customHeight="1" x14ac:dyDescent="0.2">
      <c r="B18" s="187" t="s">
        <v>209</v>
      </c>
      <c r="C18" s="187"/>
      <c r="D18" s="44">
        <f t="shared" ref="D18:R18" si="16">D14+D15+D16+D17</f>
        <v>3944</v>
      </c>
      <c r="E18" s="44">
        <f t="shared" si="16"/>
        <v>10900</v>
      </c>
      <c r="F18" s="44">
        <f t="shared" si="16"/>
        <v>8332</v>
      </c>
      <c r="G18" s="44">
        <f t="shared" si="16"/>
        <v>14769</v>
      </c>
      <c r="H18" s="44">
        <f t="shared" si="16"/>
        <v>7172</v>
      </c>
      <c r="I18" s="44">
        <f t="shared" si="16"/>
        <v>5252</v>
      </c>
      <c r="J18" s="44">
        <f t="shared" si="16"/>
        <v>5008</v>
      </c>
      <c r="K18" s="44">
        <f t="shared" si="16"/>
        <v>6001</v>
      </c>
      <c r="L18" s="44">
        <f t="shared" si="16"/>
        <v>5301</v>
      </c>
      <c r="M18" s="44">
        <f t="shared" si="16"/>
        <v>7187</v>
      </c>
      <c r="N18" s="44">
        <f t="shared" si="16"/>
        <v>11530</v>
      </c>
      <c r="O18" s="44">
        <f t="shared" si="16"/>
        <v>10169</v>
      </c>
      <c r="P18" s="44">
        <f t="shared" si="16"/>
        <v>2840</v>
      </c>
      <c r="Q18" s="44">
        <f t="shared" si="16"/>
        <v>-1025</v>
      </c>
      <c r="R18" s="44">
        <f t="shared" si="16"/>
        <v>1790</v>
      </c>
      <c r="S18" s="44">
        <f t="shared" ref="S18" si="17">S14+S15+S16+S17</f>
        <v>-2013</v>
      </c>
      <c r="U18" s="44">
        <f t="shared" ref="U18:X18" si="18">U14+U15+U16+U17</f>
        <v>37945</v>
      </c>
      <c r="V18" s="44">
        <f t="shared" si="18"/>
        <v>23433</v>
      </c>
      <c r="W18" s="44">
        <f t="shared" si="18"/>
        <v>34187</v>
      </c>
      <c r="X18" s="44">
        <f t="shared" si="18"/>
        <v>1592</v>
      </c>
      <c r="AB18" s="114"/>
    </row>
    <row r="19" spans="2:29" ht="12" customHeight="1" x14ac:dyDescent="0.2">
      <c r="B19" s="94" t="s">
        <v>22</v>
      </c>
      <c r="C19" s="93"/>
      <c r="D19" s="52">
        <f>'Segmenty 2018'!N16</f>
        <v>5272</v>
      </c>
      <c r="E19" s="52">
        <f>'Segmenty 2018'!N33</f>
        <v>5162</v>
      </c>
      <c r="F19" s="52">
        <f>'Segmenty 2018'!N50</f>
        <v>5307</v>
      </c>
      <c r="G19" s="52">
        <f>'Segmenty 2018'!N67</f>
        <v>5649</v>
      </c>
      <c r="H19" s="52">
        <f>'Segmenty 2019'!N16</f>
        <v>5964</v>
      </c>
      <c r="I19" s="52">
        <f>'Segmenty 2019'!N33</f>
        <v>6303</v>
      </c>
      <c r="J19" s="52">
        <f>'Segmenty 2019'!N50</f>
        <v>6257</v>
      </c>
      <c r="K19" s="52">
        <f>'Segmenty 2019'!N67</f>
        <v>6426</v>
      </c>
      <c r="L19" s="52">
        <v>6469</v>
      </c>
      <c r="M19" s="52">
        <f>'Segmenty 2020'!N33</f>
        <v>6902</v>
      </c>
      <c r="N19" s="52">
        <v>6734</v>
      </c>
      <c r="O19" s="52">
        <f>6490+1</f>
        <v>6491</v>
      </c>
      <c r="P19" s="52">
        <v>6296</v>
      </c>
      <c r="Q19" s="52">
        <v>6663</v>
      </c>
      <c r="R19" s="52">
        <v>7030</v>
      </c>
      <c r="S19" s="52">
        <f>7122+1</f>
        <v>7123</v>
      </c>
      <c r="U19" s="52">
        <f>SUM(D19:G19)</f>
        <v>21390</v>
      </c>
      <c r="V19" s="52">
        <f>SUM(H19:K19)</f>
        <v>24950</v>
      </c>
      <c r="W19" s="52">
        <f>SUM(L19:O19)</f>
        <v>26596</v>
      </c>
      <c r="X19" s="52">
        <f>SUM($P19:S19)</f>
        <v>27112</v>
      </c>
      <c r="AA19" s="47"/>
      <c r="AB19" s="47"/>
    </row>
    <row r="20" spans="2:29" ht="12" customHeight="1" x14ac:dyDescent="0.2">
      <c r="B20" s="187" t="s">
        <v>23</v>
      </c>
      <c r="C20" s="187"/>
      <c r="D20" s="44">
        <f>D18+D19</f>
        <v>9216</v>
      </c>
      <c r="E20" s="44">
        <f t="shared" ref="E20:R20" si="19">E18+E19</f>
        <v>16062</v>
      </c>
      <c r="F20" s="44">
        <f t="shared" si="19"/>
        <v>13639</v>
      </c>
      <c r="G20" s="44">
        <f t="shared" si="19"/>
        <v>20418</v>
      </c>
      <c r="H20" s="44">
        <f t="shared" si="19"/>
        <v>13136</v>
      </c>
      <c r="I20" s="44">
        <f t="shared" si="19"/>
        <v>11555</v>
      </c>
      <c r="J20" s="44">
        <f t="shared" si="19"/>
        <v>11265</v>
      </c>
      <c r="K20" s="44">
        <f t="shared" si="19"/>
        <v>12427</v>
      </c>
      <c r="L20" s="44">
        <f t="shared" si="19"/>
        <v>11770</v>
      </c>
      <c r="M20" s="44">
        <f t="shared" si="19"/>
        <v>14089</v>
      </c>
      <c r="N20" s="44">
        <f t="shared" si="19"/>
        <v>18264</v>
      </c>
      <c r="O20" s="44">
        <f t="shared" si="19"/>
        <v>16660</v>
      </c>
      <c r="P20" s="44">
        <f t="shared" si="19"/>
        <v>9136</v>
      </c>
      <c r="Q20" s="44">
        <f t="shared" si="19"/>
        <v>5638</v>
      </c>
      <c r="R20" s="44">
        <f t="shared" si="19"/>
        <v>8820</v>
      </c>
      <c r="S20" s="44">
        <f t="shared" ref="S20" si="20">S18+S19</f>
        <v>5110</v>
      </c>
      <c r="U20" s="44">
        <f t="shared" ref="U20" si="21">U18+U19</f>
        <v>59335</v>
      </c>
      <c r="V20" s="44">
        <f t="shared" ref="V20" si="22">V18+V19</f>
        <v>48383</v>
      </c>
      <c r="W20" s="44">
        <f t="shared" ref="W20:X20" si="23">W18+W19</f>
        <v>60783</v>
      </c>
      <c r="X20" s="44">
        <f t="shared" si="23"/>
        <v>28704</v>
      </c>
      <c r="AA20" s="47"/>
      <c r="AB20" s="47"/>
    </row>
    <row r="21" spans="2:29" s="47" customFormat="1" ht="12" customHeight="1" x14ac:dyDescent="0.2">
      <c r="B21" s="79"/>
      <c r="C21" s="80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AC21" s="46"/>
    </row>
    <row r="22" spans="2:29" s="47" customFormat="1" ht="12" customHeight="1" x14ac:dyDescent="0.2">
      <c r="B22" s="48"/>
      <c r="C22" s="72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AC22" s="46"/>
    </row>
    <row r="23" spans="2:29" ht="12" customHeight="1" x14ac:dyDescent="0.2">
      <c r="B23" s="97" t="s">
        <v>268</v>
      </c>
      <c r="C23" s="72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U23" s="47"/>
      <c r="V23" s="47"/>
      <c r="W23" s="47"/>
      <c r="X23" s="47"/>
    </row>
    <row r="24" spans="2:29" ht="12" customHeight="1" x14ac:dyDescent="0.2">
      <c r="B24" s="244" t="s">
        <v>59</v>
      </c>
      <c r="C24" s="257"/>
      <c r="D24" s="256" t="s">
        <v>122</v>
      </c>
      <c r="E24" s="219"/>
      <c r="F24" s="219"/>
      <c r="G24" s="219"/>
      <c r="H24" s="219"/>
      <c r="I24" s="219"/>
      <c r="J24" s="219"/>
      <c r="K24" s="219"/>
      <c r="L24" s="219"/>
      <c r="M24" s="219"/>
      <c r="N24" s="219"/>
      <c r="O24" s="219"/>
      <c r="P24" s="219"/>
      <c r="Q24" s="219"/>
      <c r="R24" s="219"/>
      <c r="S24" s="219"/>
      <c r="U24" s="47"/>
      <c r="V24" s="47"/>
      <c r="W24" s="47"/>
      <c r="X24" s="47"/>
    </row>
    <row r="25" spans="2:29" ht="12" customHeight="1" x14ac:dyDescent="0.2">
      <c r="B25" s="258"/>
      <c r="C25" s="259"/>
      <c r="D25" s="4" t="s">
        <v>235</v>
      </c>
      <c r="E25" s="4" t="s">
        <v>236</v>
      </c>
      <c r="F25" s="4" t="s">
        <v>237</v>
      </c>
      <c r="G25" s="4" t="s">
        <v>238</v>
      </c>
      <c r="H25" s="4" t="s">
        <v>239</v>
      </c>
      <c r="I25" s="4" t="s">
        <v>240</v>
      </c>
      <c r="J25" s="4" t="s">
        <v>241</v>
      </c>
      <c r="K25" s="4" t="s">
        <v>242</v>
      </c>
      <c r="L25" s="4" t="s">
        <v>243</v>
      </c>
      <c r="M25" s="4" t="s">
        <v>244</v>
      </c>
      <c r="N25" s="4" t="s">
        <v>245</v>
      </c>
      <c r="O25" s="4" t="s">
        <v>246</v>
      </c>
      <c r="P25" s="4" t="s">
        <v>299</v>
      </c>
      <c r="Q25" s="4" t="s">
        <v>301</v>
      </c>
      <c r="R25" s="4" t="s">
        <v>305</v>
      </c>
      <c r="S25" s="4" t="s">
        <v>310</v>
      </c>
      <c r="U25" s="47"/>
      <c r="V25" s="47"/>
      <c r="W25" s="47"/>
      <c r="X25" s="47"/>
    </row>
    <row r="26" spans="2:29" ht="12" customHeight="1" x14ac:dyDescent="0.2">
      <c r="B26" s="251" t="s">
        <v>261</v>
      </c>
      <c r="C26" s="252"/>
      <c r="D26" s="52">
        <v>34755.534198273679</v>
      </c>
      <c r="E26" s="52">
        <v>46965.845385706409</v>
      </c>
      <c r="F26" s="52">
        <v>49255.437393739718</v>
      </c>
      <c r="G26" s="52">
        <v>50118.189812030629</v>
      </c>
      <c r="H26" s="52">
        <v>53046.90681183197</v>
      </c>
      <c r="I26" s="52">
        <v>48693.672252394434</v>
      </c>
      <c r="J26" s="52">
        <v>47580.963566530831</v>
      </c>
      <c r="K26" s="52">
        <v>41829.010263408753</v>
      </c>
      <c r="L26" s="52">
        <v>44160.452802420659</v>
      </c>
      <c r="M26" s="52">
        <v>79780.767174583656</v>
      </c>
      <c r="N26" s="52">
        <v>95024.003469552292</v>
      </c>
      <c r="O26" s="52">
        <f>61461.0910101481+1</f>
        <v>61462.091010148099</v>
      </c>
      <c r="P26" s="52">
        <v>45464.002401838487</v>
      </c>
      <c r="Q26" s="52">
        <v>51350.017536328072</v>
      </c>
      <c r="R26" s="52">
        <v>52503.404737967576</v>
      </c>
      <c r="S26" s="52">
        <v>38666.100694958877</v>
      </c>
      <c r="U26" s="47"/>
      <c r="V26" s="47"/>
      <c r="W26" s="47"/>
      <c r="X26" s="47"/>
    </row>
    <row r="27" spans="2:29" ht="12" customHeight="1" x14ac:dyDescent="0.2">
      <c r="B27" s="251" t="s">
        <v>262</v>
      </c>
      <c r="C27" s="252"/>
      <c r="D27" s="52">
        <v>23260.012911726331</v>
      </c>
      <c r="E27" s="52">
        <v>24533.907384293601</v>
      </c>
      <c r="F27" s="52">
        <v>24860.643196260295</v>
      </c>
      <c r="G27" s="52">
        <v>26227.213447969363</v>
      </c>
      <c r="H27" s="52">
        <v>22246.571188168036</v>
      </c>
      <c r="I27" s="52">
        <v>21369.229187605564</v>
      </c>
      <c r="J27" s="52">
        <v>23359.110833469167</v>
      </c>
      <c r="K27" s="52">
        <v>21662.934446591244</v>
      </c>
      <c r="L27" s="52">
        <v>21365.94603757935</v>
      </c>
      <c r="M27" s="52">
        <v>21424.364545416342</v>
      </c>
      <c r="N27" s="52">
        <v>18941.227410447704</v>
      </c>
      <c r="O27" s="52">
        <v>20878.369897355842</v>
      </c>
      <c r="P27" s="52">
        <v>21954.679589329535</v>
      </c>
      <c r="Q27" s="52">
        <v>27484.464209047946</v>
      </c>
      <c r="R27" s="52">
        <v>26379.213754953191</v>
      </c>
      <c r="S27" s="52">
        <v>26380.936286353739</v>
      </c>
      <c r="U27" s="47"/>
      <c r="V27" s="47"/>
      <c r="W27" s="47"/>
      <c r="X27" s="47"/>
    </row>
    <row r="28" spans="2:29" ht="12" customHeight="1" x14ac:dyDescent="0.2">
      <c r="B28" s="251" t="s">
        <v>265</v>
      </c>
      <c r="C28" s="252"/>
      <c r="D28" s="52">
        <v>17049.481449999999</v>
      </c>
      <c r="E28" s="52">
        <v>20331.110290000004</v>
      </c>
      <c r="F28" s="52">
        <v>13954.110529999991</v>
      </c>
      <c r="G28" s="52">
        <v>32700.624940000009</v>
      </c>
      <c r="H28" s="52">
        <v>13617.868620000001</v>
      </c>
      <c r="I28" s="52">
        <v>14353.798039999994</v>
      </c>
      <c r="J28" s="52">
        <v>15803.118850000006</v>
      </c>
      <c r="K28" s="52">
        <v>21931.423930000004</v>
      </c>
      <c r="L28" s="52">
        <v>10326.975749999998</v>
      </c>
      <c r="M28" s="52">
        <v>10662.678900000006</v>
      </c>
      <c r="N28" s="52">
        <v>10281.706170000001</v>
      </c>
      <c r="O28" s="52">
        <v>18527.123719999992</v>
      </c>
      <c r="P28" s="52">
        <v>12173.012880000002</v>
      </c>
      <c r="Q28" s="52">
        <v>13536.564279999999</v>
      </c>
      <c r="R28" s="52">
        <v>10276.509530000003</v>
      </c>
      <c r="S28" s="52">
        <v>19102.38143999999</v>
      </c>
      <c r="U28" s="47"/>
      <c r="V28" s="47"/>
      <c r="W28" s="47"/>
      <c r="X28" s="47"/>
    </row>
    <row r="29" spans="2:29" ht="12" customHeight="1" x14ac:dyDescent="0.2">
      <c r="B29" s="235" t="s">
        <v>263</v>
      </c>
      <c r="C29" s="236"/>
      <c r="D29" s="52">
        <v>1474.97144</v>
      </c>
      <c r="E29" s="52">
        <v>6228.1369399999994</v>
      </c>
      <c r="F29" s="52">
        <v>7945.8088800000005</v>
      </c>
      <c r="G29" s="52">
        <v>6260.9717999999975</v>
      </c>
      <c r="H29" s="52">
        <v>5159.6210000000001</v>
      </c>
      <c r="I29" s="52">
        <v>3560.5347700000011</v>
      </c>
      <c r="J29" s="52">
        <v>5048.5022800000006</v>
      </c>
      <c r="K29" s="52">
        <v>8985.9428499999958</v>
      </c>
      <c r="L29" s="52">
        <v>5435.2008099999994</v>
      </c>
      <c r="M29" s="52">
        <v>5413.6171999999997</v>
      </c>
      <c r="N29" s="52">
        <v>5986.6633199999997</v>
      </c>
      <c r="O29" s="52">
        <v>4972.2393499999998</v>
      </c>
      <c r="P29" s="52">
        <v>3314.8183199999999</v>
      </c>
      <c r="Q29" s="52">
        <v>6132.8851599999998</v>
      </c>
      <c r="R29" s="52">
        <v>3958.8057800000006</v>
      </c>
      <c r="S29" s="52">
        <v>10427.183000000003</v>
      </c>
      <c r="U29" s="47"/>
      <c r="V29" s="47"/>
      <c r="W29" s="47"/>
      <c r="X29" s="47"/>
    </row>
    <row r="30" spans="2:29" ht="12" customHeight="1" x14ac:dyDescent="0.2">
      <c r="B30" s="235" t="s">
        <v>264</v>
      </c>
      <c r="C30" s="236"/>
      <c r="D30" s="52"/>
      <c r="E30" s="52"/>
      <c r="F30" s="52"/>
      <c r="G30" s="52"/>
      <c r="H30" s="52">
        <v>1012.0323800000001</v>
      </c>
      <c r="I30" s="52">
        <v>2050.76575</v>
      </c>
      <c r="J30" s="52">
        <v>2711.30447</v>
      </c>
      <c r="K30" s="52">
        <v>3247.6885100000018</v>
      </c>
      <c r="L30" s="52">
        <v>2672.4245999999994</v>
      </c>
      <c r="M30" s="52">
        <v>2339.5721800000001</v>
      </c>
      <c r="N30" s="52">
        <v>2110.3996300000008</v>
      </c>
      <c r="O30" s="52">
        <v>2552.8494000000001</v>
      </c>
      <c r="P30" s="52">
        <v>1688.3600000000001</v>
      </c>
      <c r="Q30" s="52">
        <v>1587.0884699999997</v>
      </c>
      <c r="R30" s="52">
        <v>1559.6920699999996</v>
      </c>
      <c r="S30" s="52">
        <v>1102.8827200000014</v>
      </c>
      <c r="U30" s="47"/>
      <c r="V30" s="47"/>
      <c r="W30" s="47"/>
      <c r="X30" s="47"/>
    </row>
    <row r="31" spans="2:29" ht="12" customHeight="1" x14ac:dyDescent="0.2">
      <c r="B31" s="187" t="s">
        <v>266</v>
      </c>
      <c r="C31" s="187"/>
      <c r="D31" s="44">
        <f>SUM(D26:D30)</f>
        <v>76540</v>
      </c>
      <c r="E31" s="44">
        <f t="shared" ref="E31:R31" si="24">SUM(E26:E30)</f>
        <v>98059</v>
      </c>
      <c r="F31" s="44">
        <f t="shared" si="24"/>
        <v>96016</v>
      </c>
      <c r="G31" s="44">
        <f t="shared" si="24"/>
        <v>115307</v>
      </c>
      <c r="H31" s="44">
        <f t="shared" si="24"/>
        <v>95083</v>
      </c>
      <c r="I31" s="44">
        <f t="shared" si="24"/>
        <v>90028</v>
      </c>
      <c r="J31" s="44">
        <f t="shared" si="24"/>
        <v>94503.000000000015</v>
      </c>
      <c r="K31" s="44">
        <f t="shared" si="24"/>
        <v>97657</v>
      </c>
      <c r="L31" s="44">
        <f t="shared" si="24"/>
        <v>83961</v>
      </c>
      <c r="M31" s="44">
        <f t="shared" si="24"/>
        <v>119621</v>
      </c>
      <c r="N31" s="44">
        <f t="shared" si="24"/>
        <v>132344</v>
      </c>
      <c r="O31" s="44">
        <f t="shared" si="24"/>
        <v>108392.67337750393</v>
      </c>
      <c r="P31" s="44">
        <f t="shared" si="24"/>
        <v>84594.873191168037</v>
      </c>
      <c r="Q31" s="44">
        <f t="shared" si="24"/>
        <v>100091.01965537602</v>
      </c>
      <c r="R31" s="44">
        <f t="shared" si="24"/>
        <v>94677.625872920777</v>
      </c>
      <c r="S31" s="44">
        <f t="shared" ref="S31" si="25">SUM(S26:S30)</f>
        <v>95679.484141312627</v>
      </c>
      <c r="U31" s="47"/>
      <c r="V31" s="47"/>
      <c r="W31" s="47"/>
      <c r="X31" s="47"/>
    </row>
    <row r="32" spans="2:29" ht="12" customHeight="1" x14ac:dyDescent="0.2"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U32" s="47"/>
      <c r="V32" s="47"/>
      <c r="W32" s="47"/>
      <c r="X32" s="47"/>
    </row>
    <row r="33" spans="4:24" ht="12" customHeight="1" x14ac:dyDescent="0.2">
      <c r="O33" s="159"/>
      <c r="P33" s="159"/>
      <c r="Q33" s="159"/>
      <c r="R33" s="159"/>
      <c r="S33" s="159"/>
      <c r="U33" s="47"/>
      <c r="V33" s="47"/>
      <c r="W33" s="47"/>
      <c r="X33" s="47"/>
    </row>
    <row r="34" spans="4:24" ht="12" customHeight="1" x14ac:dyDescent="0.2">
      <c r="D34" s="114"/>
      <c r="E34" s="114"/>
      <c r="F34" s="114"/>
      <c r="G34" s="114"/>
      <c r="H34" s="114"/>
      <c r="I34" s="114"/>
      <c r="J34" s="114"/>
      <c r="K34" s="114"/>
      <c r="L34" s="114"/>
      <c r="M34" s="114"/>
      <c r="N34" s="114"/>
      <c r="O34" s="114"/>
      <c r="P34" s="114"/>
      <c r="Q34" s="114"/>
      <c r="R34" s="114"/>
      <c r="S34" s="114"/>
    </row>
  </sheetData>
  <mergeCells count="22">
    <mergeCell ref="B12:C12"/>
    <mergeCell ref="B13:C13"/>
    <mergeCell ref="B14:C14"/>
    <mergeCell ref="B9:C9"/>
    <mergeCell ref="B10:C10"/>
    <mergeCell ref="B11:C11"/>
    <mergeCell ref="D7:S7"/>
    <mergeCell ref="D24:S24"/>
    <mergeCell ref="U7:X7"/>
    <mergeCell ref="B30:C30"/>
    <mergeCell ref="B31:C31"/>
    <mergeCell ref="B27:C27"/>
    <mergeCell ref="B28:C28"/>
    <mergeCell ref="B29:C29"/>
    <mergeCell ref="B24:C25"/>
    <mergeCell ref="B26:C26"/>
    <mergeCell ref="B18:C18"/>
    <mergeCell ref="B20:C20"/>
    <mergeCell ref="B15:C15"/>
    <mergeCell ref="B16:C16"/>
    <mergeCell ref="B17:C17"/>
    <mergeCell ref="B7:C8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B6694-21B7-41C3-B546-EC4BAFEEE739}">
  <sheetPr>
    <tabColor theme="0" tint="-0.34998626667073579"/>
  </sheetPr>
  <dimension ref="B1:AB33"/>
  <sheetViews>
    <sheetView showGridLines="0" zoomScaleNormal="100" zoomScaleSheetLayoutView="100" workbookViewId="0">
      <pane xSplit="3" ySplit="1" topLeftCell="D2" activePane="bottomRight" state="frozen"/>
      <selection activeCell="Q2" sqref="Q2"/>
      <selection pane="topRight" activeCell="Q2" sqref="Q2"/>
      <selection pane="bottomLeft" activeCell="Q2" sqref="Q2"/>
      <selection pane="bottomRight" activeCell="J37" sqref="J37"/>
    </sheetView>
  </sheetViews>
  <sheetFormatPr defaultColWidth="9.140625" defaultRowHeight="12" customHeight="1" x14ac:dyDescent="0.2"/>
  <cols>
    <col min="1" max="1" width="1.140625" style="46" customWidth="1"/>
    <col min="2" max="2" width="2.5703125" style="47" customWidth="1"/>
    <col min="3" max="3" width="32.7109375" style="54" customWidth="1"/>
    <col min="4" max="23" width="9.28515625" style="46" customWidth="1"/>
    <col min="24" max="16384" width="9.140625" style="46"/>
  </cols>
  <sheetData>
    <row r="1" spans="2:28" s="1" customFormat="1" ht="12" hidden="1" customHeight="1" x14ac:dyDescent="0.2">
      <c r="C1" s="2"/>
    </row>
    <row r="2" spans="2:28" s="1" customFormat="1" ht="12" hidden="1" customHeight="1" x14ac:dyDescent="0.2">
      <c r="C2" s="2"/>
    </row>
    <row r="3" spans="2:28" s="1" customFormat="1" ht="12" hidden="1" customHeight="1" x14ac:dyDescent="0.2">
      <c r="C3" s="2"/>
    </row>
    <row r="4" spans="2:28" s="1" customFormat="1" ht="12" hidden="1" customHeight="1" x14ac:dyDescent="0.2">
      <c r="C4" s="2"/>
    </row>
    <row r="5" spans="2:28" s="1" customFormat="1" ht="12" customHeight="1" x14ac:dyDescent="0.2">
      <c r="C5" s="2"/>
    </row>
    <row r="6" spans="2:28" ht="12" customHeight="1" x14ac:dyDescent="0.2">
      <c r="B6" s="97" t="s">
        <v>260</v>
      </c>
      <c r="C6" s="72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</row>
    <row r="7" spans="2:28" ht="12" customHeight="1" x14ac:dyDescent="0.2">
      <c r="B7" s="244" t="s">
        <v>59</v>
      </c>
      <c r="C7" s="257"/>
      <c r="D7" s="256" t="s">
        <v>122</v>
      </c>
      <c r="E7" s="219"/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U7" s="199" t="s">
        <v>122</v>
      </c>
      <c r="V7" s="179"/>
      <c r="W7" s="179"/>
      <c r="X7" s="180"/>
    </row>
    <row r="8" spans="2:28" ht="12" customHeight="1" x14ac:dyDescent="0.2">
      <c r="B8" s="258"/>
      <c r="C8" s="259"/>
      <c r="D8" s="4" t="s">
        <v>235</v>
      </c>
      <c r="E8" s="4" t="s">
        <v>236</v>
      </c>
      <c r="F8" s="4" t="s">
        <v>237</v>
      </c>
      <c r="G8" s="4" t="s">
        <v>238</v>
      </c>
      <c r="H8" s="4" t="s">
        <v>239</v>
      </c>
      <c r="I8" s="4" t="s">
        <v>240</v>
      </c>
      <c r="J8" s="4" t="s">
        <v>241</v>
      </c>
      <c r="K8" s="4" t="s">
        <v>242</v>
      </c>
      <c r="L8" s="4" t="s">
        <v>243</v>
      </c>
      <c r="M8" s="4" t="s">
        <v>244</v>
      </c>
      <c r="N8" s="4" t="s">
        <v>245</v>
      </c>
      <c r="O8" s="4" t="s">
        <v>246</v>
      </c>
      <c r="P8" s="4" t="s">
        <v>299</v>
      </c>
      <c r="Q8" s="4" t="s">
        <v>301</v>
      </c>
      <c r="R8" s="4" t="s">
        <v>305</v>
      </c>
      <c r="S8" s="4" t="s">
        <v>310</v>
      </c>
      <c r="U8" s="92">
        <v>2018</v>
      </c>
      <c r="V8" s="92">
        <v>2019</v>
      </c>
      <c r="W8" s="92">
        <v>2020</v>
      </c>
      <c r="X8" s="121">
        <v>2021</v>
      </c>
    </row>
    <row r="9" spans="2:28" ht="12" customHeight="1" x14ac:dyDescent="0.2">
      <c r="B9" s="251" t="s">
        <v>204</v>
      </c>
      <c r="C9" s="252"/>
      <c r="D9" s="52">
        <f>'Segmenty 2018'!P6</f>
        <v>56825</v>
      </c>
      <c r="E9" s="52">
        <f>'Segmenty 2018'!P23</f>
        <v>58943</v>
      </c>
      <c r="F9" s="52">
        <f>'Segmenty 2018'!P40</f>
        <v>65403</v>
      </c>
      <c r="G9" s="52">
        <f>'Segmenty 2018'!P57</f>
        <v>77173</v>
      </c>
      <c r="H9" s="52">
        <f>'Segmenty 2019'!P6</f>
        <v>60694</v>
      </c>
      <c r="I9" s="52">
        <f>'Segmenty 2019'!P23</f>
        <v>66237</v>
      </c>
      <c r="J9" s="52">
        <f>'Segmenty 2019'!P40</f>
        <v>62665</v>
      </c>
      <c r="K9" s="52">
        <f>'Segmenty 2019'!P57</f>
        <v>67179</v>
      </c>
      <c r="L9" s="52">
        <f>'Segmenty 2020'!P6</f>
        <v>60299</v>
      </c>
      <c r="M9" s="52">
        <f>'Segmenty 2020'!P23</f>
        <v>50530</v>
      </c>
      <c r="N9" s="52">
        <f>'Segmenty 2020'!P40</f>
        <v>60925</v>
      </c>
      <c r="O9" s="52">
        <v>67802</v>
      </c>
      <c r="P9" s="52">
        <v>68757</v>
      </c>
      <c r="Q9" s="52">
        <v>72431</v>
      </c>
      <c r="R9" s="52">
        <v>76880</v>
      </c>
      <c r="S9" s="52">
        <v>77345</v>
      </c>
      <c r="U9" s="52">
        <f>SUM(D9:G9)</f>
        <v>258344</v>
      </c>
      <c r="V9" s="52">
        <f>SUM(H9:K9)</f>
        <v>256775</v>
      </c>
      <c r="W9" s="52">
        <f>SUM(L9:O9)</f>
        <v>239556</v>
      </c>
      <c r="X9" s="52">
        <f>SUM($P9:S9)</f>
        <v>295413</v>
      </c>
    </row>
    <row r="10" spans="2:28" ht="12" customHeight="1" x14ac:dyDescent="0.2">
      <c r="B10" s="251" t="s">
        <v>33</v>
      </c>
      <c r="C10" s="252"/>
      <c r="D10" s="52">
        <f>'Segmenty 2018'!P7</f>
        <v>34721</v>
      </c>
      <c r="E10" s="52">
        <f>'Segmenty 2018'!P24</f>
        <v>34902</v>
      </c>
      <c r="F10" s="52">
        <f>'Segmenty 2018'!P41</f>
        <v>38024</v>
      </c>
      <c r="G10" s="52">
        <f>'Segmenty 2018'!P58</f>
        <v>51822</v>
      </c>
      <c r="H10" s="52">
        <f>'Segmenty 2019'!P7</f>
        <v>37488</v>
      </c>
      <c r="I10" s="52">
        <f>'Segmenty 2019'!P24</f>
        <v>40316</v>
      </c>
      <c r="J10" s="52">
        <f>'Segmenty 2019'!P41</f>
        <v>42677</v>
      </c>
      <c r="K10" s="52">
        <f>'Segmenty 2019'!P58</f>
        <v>51305</v>
      </c>
      <c r="L10" s="52">
        <v>41598</v>
      </c>
      <c r="M10" s="52">
        <v>33193</v>
      </c>
      <c r="N10" s="52">
        <v>42547</v>
      </c>
      <c r="O10" s="52">
        <v>47079</v>
      </c>
      <c r="P10" s="52">
        <v>45667</v>
      </c>
      <c r="Q10" s="52">
        <v>44989</v>
      </c>
      <c r="R10" s="52">
        <v>51492</v>
      </c>
      <c r="S10" s="52">
        <f>56309+1</f>
        <v>56310</v>
      </c>
      <c r="U10" s="52">
        <f>SUM(D10:G10)</f>
        <v>159469</v>
      </c>
      <c r="V10" s="52">
        <f>SUM(H10:K10)</f>
        <v>171786</v>
      </c>
      <c r="W10" s="52">
        <f>SUM(L10:O10)</f>
        <v>164417</v>
      </c>
      <c r="X10" s="52">
        <f>SUM($P10:S10)</f>
        <v>198458</v>
      </c>
      <c r="AB10" s="114"/>
    </row>
    <row r="11" spans="2:28" ht="12" customHeight="1" x14ac:dyDescent="0.2">
      <c r="B11" s="187" t="s">
        <v>205</v>
      </c>
      <c r="C11" s="187"/>
      <c r="D11" s="44">
        <f>D9-D10</f>
        <v>22104</v>
      </c>
      <c r="E11" s="44">
        <f t="shared" ref="E11:R11" si="0">E9-E10</f>
        <v>24041</v>
      </c>
      <c r="F11" s="44">
        <f t="shared" si="0"/>
        <v>27379</v>
      </c>
      <c r="G11" s="44">
        <f t="shared" si="0"/>
        <v>25351</v>
      </c>
      <c r="H11" s="44">
        <f t="shared" si="0"/>
        <v>23206</v>
      </c>
      <c r="I11" s="44">
        <f t="shared" si="0"/>
        <v>25921</v>
      </c>
      <c r="J11" s="44">
        <f t="shared" si="0"/>
        <v>19988</v>
      </c>
      <c r="K11" s="44">
        <f t="shared" si="0"/>
        <v>15874</v>
      </c>
      <c r="L11" s="44">
        <f t="shared" si="0"/>
        <v>18701</v>
      </c>
      <c r="M11" s="44">
        <f t="shared" si="0"/>
        <v>17337</v>
      </c>
      <c r="N11" s="44">
        <f t="shared" si="0"/>
        <v>18378</v>
      </c>
      <c r="O11" s="44">
        <f t="shared" si="0"/>
        <v>20723</v>
      </c>
      <c r="P11" s="44">
        <f t="shared" si="0"/>
        <v>23090</v>
      </c>
      <c r="Q11" s="44">
        <f t="shared" si="0"/>
        <v>27442</v>
      </c>
      <c r="R11" s="44">
        <f t="shared" si="0"/>
        <v>25388</v>
      </c>
      <c r="S11" s="44">
        <f t="shared" ref="S11" si="1">S9-S10</f>
        <v>21035</v>
      </c>
      <c r="U11" s="44">
        <f t="shared" ref="U11:X11" si="2">U9-U10</f>
        <v>98875</v>
      </c>
      <c r="V11" s="44">
        <f t="shared" si="2"/>
        <v>84989</v>
      </c>
      <c r="W11" s="44">
        <f t="shared" si="2"/>
        <v>75139</v>
      </c>
      <c r="X11" s="44">
        <f t="shared" si="2"/>
        <v>96955</v>
      </c>
      <c r="AB11" s="114"/>
    </row>
    <row r="12" spans="2:28" ht="12" customHeight="1" x14ac:dyDescent="0.2">
      <c r="B12" s="235" t="s">
        <v>4</v>
      </c>
      <c r="C12" s="236"/>
      <c r="D12" s="52">
        <f>'Segmenty 2018'!P9</f>
        <v>3480</v>
      </c>
      <c r="E12" s="52">
        <f>'Segmenty 2018'!P26</f>
        <v>4047</v>
      </c>
      <c r="F12" s="52">
        <f>'Segmenty 2018'!P43</f>
        <v>4418</v>
      </c>
      <c r="G12" s="52">
        <f>'Segmenty 2018'!P60</f>
        <v>6627</v>
      </c>
      <c r="H12" s="52">
        <f>'Segmenty 2019'!P9</f>
        <v>3924</v>
      </c>
      <c r="I12" s="52">
        <f>'Segmenty 2019'!P26</f>
        <v>4109</v>
      </c>
      <c r="J12" s="52">
        <f>'Segmenty 2019'!P43</f>
        <v>3588</v>
      </c>
      <c r="K12" s="52">
        <f>'Segmenty 2019'!P60</f>
        <v>4897</v>
      </c>
      <c r="L12" s="52">
        <f>'Segmenty 2020'!P9</f>
        <v>3562</v>
      </c>
      <c r="M12" s="52">
        <f>'Segmenty 2020'!P26</f>
        <v>2692</v>
      </c>
      <c r="N12" s="52">
        <f>'Segmenty 2020'!P43</f>
        <v>2957</v>
      </c>
      <c r="O12" s="52">
        <v>3364</v>
      </c>
      <c r="P12" s="52">
        <v>3182</v>
      </c>
      <c r="Q12" s="52">
        <v>3141</v>
      </c>
      <c r="R12" s="52">
        <v>3000</v>
      </c>
      <c r="S12" s="52">
        <v>3879</v>
      </c>
      <c r="U12" s="52">
        <f>SUM(D12:G12)</f>
        <v>18572</v>
      </c>
      <c r="V12" s="52">
        <f>SUM(H12:K12)</f>
        <v>16518</v>
      </c>
      <c r="W12" s="52">
        <f>SUM(L12:O12)</f>
        <v>12575</v>
      </c>
      <c r="X12" s="52">
        <f>SUM($P12:S12)</f>
        <v>13202</v>
      </c>
      <c r="AB12" s="114"/>
    </row>
    <row r="13" spans="2:28" ht="12" customHeight="1" x14ac:dyDescent="0.2">
      <c r="B13" s="235" t="s">
        <v>5</v>
      </c>
      <c r="C13" s="236"/>
      <c r="D13" s="52">
        <f>'Segmenty 2018'!P10</f>
        <v>7754</v>
      </c>
      <c r="E13" s="52">
        <f>'Segmenty 2018'!P27</f>
        <v>9191</v>
      </c>
      <c r="F13" s="52">
        <f>'Segmenty 2018'!P44</f>
        <v>8997</v>
      </c>
      <c r="G13" s="52">
        <f>'Segmenty 2018'!P61</f>
        <v>10837</v>
      </c>
      <c r="H13" s="52">
        <f>'Segmenty 2019'!P10</f>
        <v>10172</v>
      </c>
      <c r="I13" s="52">
        <f>'Segmenty 2019'!P27</f>
        <v>10081</v>
      </c>
      <c r="J13" s="52">
        <f>'Segmenty 2019'!P44</f>
        <v>9409</v>
      </c>
      <c r="K13" s="52">
        <f>'Segmenty 2019'!P61</f>
        <v>9746</v>
      </c>
      <c r="L13" s="52">
        <f>'Segmenty 2020'!P10</f>
        <v>10095</v>
      </c>
      <c r="M13" s="52">
        <f>'Segmenty 2020'!P27</f>
        <v>9603</v>
      </c>
      <c r="N13" s="52">
        <v>10766</v>
      </c>
      <c r="O13" s="52">
        <v>10783</v>
      </c>
      <c r="P13" s="52">
        <v>11947</v>
      </c>
      <c r="Q13" s="52">
        <v>11016</v>
      </c>
      <c r="R13" s="52">
        <v>11381</v>
      </c>
      <c r="S13" s="52">
        <v>11743</v>
      </c>
      <c r="U13" s="52">
        <f>SUM(D13:G13)</f>
        <v>36779</v>
      </c>
      <c r="V13" s="52">
        <f>SUM(H13:K13)</f>
        <v>39408</v>
      </c>
      <c r="W13" s="52">
        <f>SUM(L13:O13)</f>
        <v>41247</v>
      </c>
      <c r="X13" s="52">
        <f>SUM($P13:S13)</f>
        <v>46087</v>
      </c>
      <c r="AB13" s="114"/>
    </row>
    <row r="14" spans="2:28" ht="12" customHeight="1" x14ac:dyDescent="0.2">
      <c r="B14" s="187" t="s">
        <v>206</v>
      </c>
      <c r="C14" s="187"/>
      <c r="D14" s="44">
        <f>D11-D12-D13</f>
        <v>10870</v>
      </c>
      <c r="E14" s="44">
        <f t="shared" ref="E14:R14" si="3">E11-E12-E13</f>
        <v>10803</v>
      </c>
      <c r="F14" s="44">
        <f t="shared" si="3"/>
        <v>13964</v>
      </c>
      <c r="G14" s="44">
        <f t="shared" si="3"/>
        <v>7887</v>
      </c>
      <c r="H14" s="44">
        <f t="shared" si="3"/>
        <v>9110</v>
      </c>
      <c r="I14" s="44">
        <f t="shared" si="3"/>
        <v>11731</v>
      </c>
      <c r="J14" s="44">
        <f t="shared" si="3"/>
        <v>6991</v>
      </c>
      <c r="K14" s="44">
        <f t="shared" si="3"/>
        <v>1231</v>
      </c>
      <c r="L14" s="44">
        <f t="shared" si="3"/>
        <v>5044</v>
      </c>
      <c r="M14" s="44">
        <f t="shared" si="3"/>
        <v>5042</v>
      </c>
      <c r="N14" s="44">
        <f t="shared" si="3"/>
        <v>4655</v>
      </c>
      <c r="O14" s="44">
        <f t="shared" si="3"/>
        <v>6576</v>
      </c>
      <c r="P14" s="44">
        <f t="shared" si="3"/>
        <v>7961</v>
      </c>
      <c r="Q14" s="44">
        <f t="shared" si="3"/>
        <v>13285</v>
      </c>
      <c r="R14" s="44">
        <f t="shared" si="3"/>
        <v>11007</v>
      </c>
      <c r="S14" s="44">
        <f t="shared" ref="S14" si="4">S11-S12-S13</f>
        <v>5413</v>
      </c>
      <c r="U14" s="44">
        <f t="shared" ref="U14:X14" si="5">U11-U12-U13</f>
        <v>43524</v>
      </c>
      <c r="V14" s="44">
        <f t="shared" si="5"/>
        <v>29063</v>
      </c>
      <c r="W14" s="44">
        <f t="shared" si="5"/>
        <v>21317</v>
      </c>
      <c r="X14" s="44">
        <f t="shared" si="5"/>
        <v>37666</v>
      </c>
      <c r="AB14" s="114"/>
    </row>
    <row r="15" spans="2:28" ht="12" customHeight="1" x14ac:dyDescent="0.2">
      <c r="B15" s="235" t="s">
        <v>207</v>
      </c>
      <c r="C15" s="236"/>
      <c r="D15" s="52">
        <f>'Segmenty 2018'!P12</f>
        <v>-481</v>
      </c>
      <c r="E15" s="52">
        <f>'Segmenty 2018'!P29</f>
        <v>-354</v>
      </c>
      <c r="F15" s="52">
        <f>'Segmenty 2018'!P46</f>
        <v>277</v>
      </c>
      <c r="G15" s="52">
        <f>'Segmenty 2018'!P63</f>
        <v>-1927</v>
      </c>
      <c r="H15" s="52">
        <f>'Segmenty 2019'!P12</f>
        <v>-629</v>
      </c>
      <c r="I15" s="52">
        <f>'Segmenty 2019'!P29</f>
        <v>-758</v>
      </c>
      <c r="J15" s="52">
        <f>'Segmenty 2019'!P46</f>
        <v>-655</v>
      </c>
      <c r="K15" s="52">
        <f>'Segmenty 2019'!P63</f>
        <v>-476</v>
      </c>
      <c r="L15" s="52">
        <v>117</v>
      </c>
      <c r="M15" s="52">
        <v>-974</v>
      </c>
      <c r="N15" s="52">
        <v>1335</v>
      </c>
      <c r="O15" s="52">
        <v>2995</v>
      </c>
      <c r="P15" s="52">
        <v>36648</v>
      </c>
      <c r="Q15" s="52">
        <v>-1</v>
      </c>
      <c r="R15" s="52">
        <v>16</v>
      </c>
      <c r="S15" s="52">
        <f>346+1</f>
        <v>347</v>
      </c>
      <c r="U15" s="52">
        <f>SUM(D15:G15)</f>
        <v>-2485</v>
      </c>
      <c r="V15" s="52">
        <f>SUM(H15:K15)</f>
        <v>-2518</v>
      </c>
      <c r="W15" s="52">
        <f>SUM(L15:O15)</f>
        <v>3473</v>
      </c>
      <c r="X15" s="52">
        <f>SUM($P15:S15)</f>
        <v>37010</v>
      </c>
      <c r="AB15" s="114"/>
    </row>
    <row r="16" spans="2:28" ht="12" customHeight="1" x14ac:dyDescent="0.2">
      <c r="B16" s="237" t="s">
        <v>208</v>
      </c>
      <c r="C16" s="250"/>
      <c r="D16" s="52">
        <f>'Segmenty 2018'!P13</f>
        <v>157</v>
      </c>
      <c r="E16" s="52">
        <f>'Segmenty 2018'!P30</f>
        <v>283</v>
      </c>
      <c r="F16" s="52">
        <f>'Segmenty 2018'!P47</f>
        <v>481</v>
      </c>
      <c r="G16" s="52">
        <f>'Segmenty 2018'!P64</f>
        <v>399</v>
      </c>
      <c r="H16" s="52">
        <f>'Segmenty 2019'!P13</f>
        <v>235</v>
      </c>
      <c r="I16" s="52">
        <f>'Segmenty 2019'!P30</f>
        <v>328</v>
      </c>
      <c r="J16" s="52">
        <f>'Segmenty 2019'!P47</f>
        <v>603</v>
      </c>
      <c r="K16" s="52">
        <f>'Segmenty 2019'!P64</f>
        <v>504</v>
      </c>
      <c r="L16" s="52">
        <f>'Segmenty 2020'!P13</f>
        <v>-6</v>
      </c>
      <c r="M16" s="52">
        <f>'Segmenty 2020'!P30</f>
        <v>406</v>
      </c>
      <c r="N16" s="52">
        <f>'Segmenty 2020'!P47</f>
        <v>459</v>
      </c>
      <c r="O16" s="52">
        <v>493</v>
      </c>
      <c r="P16" s="52">
        <v>302</v>
      </c>
      <c r="Q16" s="52">
        <v>280</v>
      </c>
      <c r="R16" s="52">
        <v>379</v>
      </c>
      <c r="S16" s="52">
        <v>675</v>
      </c>
      <c r="U16" s="52">
        <f>SUM(D16:G16)</f>
        <v>1320</v>
      </c>
      <c r="V16" s="52">
        <f>SUM(H16:K16)</f>
        <v>1670</v>
      </c>
      <c r="W16" s="52">
        <f>SUM(L16:O16)</f>
        <v>1352</v>
      </c>
      <c r="X16" s="52">
        <f>SUM($P16:S16)</f>
        <v>1636</v>
      </c>
      <c r="AB16" s="114"/>
    </row>
    <row r="17" spans="2:28" ht="12" customHeight="1" x14ac:dyDescent="0.2">
      <c r="B17" s="237" t="s">
        <v>27</v>
      </c>
      <c r="C17" s="250"/>
      <c r="D17" s="52">
        <f>'Segmenty 2018'!P14</f>
        <v>0</v>
      </c>
      <c r="E17" s="52">
        <f>'Segmenty 2018'!P31</f>
        <v>0</v>
      </c>
      <c r="F17" s="52">
        <f>'Segmenty 2018'!P48</f>
        <v>0</v>
      </c>
      <c r="G17" s="52">
        <f>'Segmenty 2018'!P65</f>
        <v>0</v>
      </c>
      <c r="H17" s="52">
        <f>'Segmenty 2019'!P14</f>
        <v>0</v>
      </c>
      <c r="I17" s="52">
        <f>'Segmenty 2019'!P31</f>
        <v>0</v>
      </c>
      <c r="J17" s="52">
        <f>'Segmenty 2019'!P48</f>
        <v>0</v>
      </c>
      <c r="K17" s="52">
        <f>'Segmenty 2019'!P65</f>
        <v>0</v>
      </c>
      <c r="L17" s="52">
        <f>'Segmenty 2020'!P14</f>
        <v>0</v>
      </c>
      <c r="M17" s="52">
        <f>'Segmenty 2020'!P31</f>
        <v>0</v>
      </c>
      <c r="N17" s="52">
        <f>'Segmenty 2020'!P48</f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U17" s="52">
        <f>SUM(D17:G17)</f>
        <v>0</v>
      </c>
      <c r="V17" s="52">
        <f>SUM(H17:K17)</f>
        <v>0</v>
      </c>
      <c r="W17" s="52">
        <f>SUM(L17:O17)</f>
        <v>0</v>
      </c>
      <c r="X17" s="52">
        <f>SUM($P17:S17)</f>
        <v>0</v>
      </c>
      <c r="AB17" s="114"/>
    </row>
    <row r="18" spans="2:28" ht="12" customHeight="1" x14ac:dyDescent="0.2">
      <c r="B18" s="187" t="s">
        <v>209</v>
      </c>
      <c r="C18" s="187"/>
      <c r="D18" s="44">
        <f t="shared" ref="D18:O18" si="6">D14+D15+D16+D17</f>
        <v>10546</v>
      </c>
      <c r="E18" s="44">
        <f t="shared" si="6"/>
        <v>10732</v>
      </c>
      <c r="F18" s="44">
        <f t="shared" si="6"/>
        <v>14722</v>
      </c>
      <c r="G18" s="44">
        <f t="shared" si="6"/>
        <v>6359</v>
      </c>
      <c r="H18" s="44">
        <f t="shared" si="6"/>
        <v>8716</v>
      </c>
      <c r="I18" s="44">
        <f t="shared" si="6"/>
        <v>11301</v>
      </c>
      <c r="J18" s="44">
        <f t="shared" si="6"/>
        <v>6939</v>
      </c>
      <c r="K18" s="44">
        <f t="shared" si="6"/>
        <v>1259</v>
      </c>
      <c r="L18" s="44">
        <f t="shared" si="6"/>
        <v>5155</v>
      </c>
      <c r="M18" s="44">
        <f t="shared" si="6"/>
        <v>4474</v>
      </c>
      <c r="N18" s="44">
        <f t="shared" si="6"/>
        <v>6449</v>
      </c>
      <c r="O18" s="44">
        <f t="shared" si="6"/>
        <v>10064</v>
      </c>
      <c r="P18" s="44">
        <f>P14+P15+P16+P17</f>
        <v>44911</v>
      </c>
      <c r="Q18" s="44">
        <f>Q14+Q15+Q16+Q17</f>
        <v>13564</v>
      </c>
      <c r="R18" s="44">
        <f>R14+R15+R16+R17</f>
        <v>11402</v>
      </c>
      <c r="S18" s="44">
        <f>S14+S15+S16+S17</f>
        <v>6435</v>
      </c>
      <c r="U18" s="44">
        <f t="shared" ref="U18:X18" si="7">U14+U15+U16+U17</f>
        <v>42359</v>
      </c>
      <c r="V18" s="44">
        <f t="shared" si="7"/>
        <v>28215</v>
      </c>
      <c r="W18" s="44">
        <f t="shared" si="7"/>
        <v>26142</v>
      </c>
      <c r="X18" s="44">
        <f t="shared" si="7"/>
        <v>76312</v>
      </c>
      <c r="AB18" s="114"/>
    </row>
    <row r="19" spans="2:28" ht="12" customHeight="1" x14ac:dyDescent="0.2">
      <c r="B19" s="94" t="s">
        <v>22</v>
      </c>
      <c r="C19" s="93"/>
      <c r="D19" s="52">
        <f>'Segmenty 2018'!P16</f>
        <v>1842</v>
      </c>
      <c r="E19" s="52">
        <f>'Segmenty 2018'!P33</f>
        <v>2037</v>
      </c>
      <c r="F19" s="52">
        <f>'Segmenty 2018'!P50</f>
        <v>1926</v>
      </c>
      <c r="G19" s="52">
        <f>'Segmenty 2018'!P67</f>
        <v>1972</v>
      </c>
      <c r="H19" s="52">
        <f>'Segmenty 2019'!P16</f>
        <v>2363</v>
      </c>
      <c r="I19" s="52">
        <f>'Segmenty 2019'!P33</f>
        <v>2150</v>
      </c>
      <c r="J19" s="52">
        <f>'Segmenty 2019'!P50</f>
        <v>2298</v>
      </c>
      <c r="K19" s="52">
        <f>'Segmenty 2019'!P67</f>
        <v>2695</v>
      </c>
      <c r="L19" s="52">
        <f>'Segmenty 2020'!P16</f>
        <v>2569</v>
      </c>
      <c r="M19" s="52">
        <f>'Segmenty 2020'!P33</f>
        <v>2162</v>
      </c>
      <c r="N19" s="52">
        <v>2874</v>
      </c>
      <c r="O19" s="52">
        <v>2713</v>
      </c>
      <c r="P19" s="52">
        <v>2939</v>
      </c>
      <c r="Q19" s="52">
        <v>2819</v>
      </c>
      <c r="R19" s="52">
        <v>2789</v>
      </c>
      <c r="S19" s="52">
        <v>2833</v>
      </c>
      <c r="U19" s="52">
        <f>SUM(D19:G19)</f>
        <v>7777</v>
      </c>
      <c r="V19" s="52">
        <f>SUM(H19:K19)</f>
        <v>9506</v>
      </c>
      <c r="W19" s="52">
        <f>SUM(L19:O19)</f>
        <v>10318</v>
      </c>
      <c r="X19" s="52">
        <f>SUM($P19:S19)</f>
        <v>11380</v>
      </c>
      <c r="AB19" s="114"/>
    </row>
    <row r="20" spans="2:28" ht="12" customHeight="1" x14ac:dyDescent="0.2">
      <c r="B20" s="187" t="s">
        <v>23</v>
      </c>
      <c r="C20" s="187"/>
      <c r="D20" s="44">
        <f>D18+D19</f>
        <v>12388</v>
      </c>
      <c r="E20" s="44">
        <f t="shared" ref="E20:O20" si="8">E18+E19</f>
        <v>12769</v>
      </c>
      <c r="F20" s="44">
        <f t="shared" si="8"/>
        <v>16648</v>
      </c>
      <c r="G20" s="44">
        <f t="shared" si="8"/>
        <v>8331</v>
      </c>
      <c r="H20" s="44">
        <f t="shared" si="8"/>
        <v>11079</v>
      </c>
      <c r="I20" s="44">
        <f t="shared" si="8"/>
        <v>13451</v>
      </c>
      <c r="J20" s="44">
        <f t="shared" si="8"/>
        <v>9237</v>
      </c>
      <c r="K20" s="44">
        <f t="shared" si="8"/>
        <v>3954</v>
      </c>
      <c r="L20" s="44">
        <f t="shared" si="8"/>
        <v>7724</v>
      </c>
      <c r="M20" s="44">
        <f t="shared" si="8"/>
        <v>6636</v>
      </c>
      <c r="N20" s="44">
        <f t="shared" si="8"/>
        <v>9323</v>
      </c>
      <c r="O20" s="44">
        <f t="shared" si="8"/>
        <v>12777</v>
      </c>
      <c r="P20" s="44">
        <f>P18+P19</f>
        <v>47850</v>
      </c>
      <c r="Q20" s="44">
        <f>Q18+Q19</f>
        <v>16383</v>
      </c>
      <c r="R20" s="44">
        <f>R18+R19</f>
        <v>14191</v>
      </c>
      <c r="S20" s="44">
        <f>S18+S19</f>
        <v>9268</v>
      </c>
      <c r="U20" s="44">
        <f t="shared" ref="U20:X20" si="9">U18+U19</f>
        <v>50136</v>
      </c>
      <c r="V20" s="44">
        <f t="shared" si="9"/>
        <v>37721</v>
      </c>
      <c r="W20" s="44">
        <f t="shared" si="9"/>
        <v>36460</v>
      </c>
      <c r="X20" s="44">
        <f t="shared" si="9"/>
        <v>87692</v>
      </c>
      <c r="AB20" s="47"/>
    </row>
    <row r="21" spans="2:28" s="47" customFormat="1" ht="12" customHeight="1" x14ac:dyDescent="0.2">
      <c r="B21" s="79"/>
      <c r="C21" s="80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</row>
    <row r="22" spans="2:28" s="47" customFormat="1" ht="12" customHeight="1" x14ac:dyDescent="0.2">
      <c r="B22" s="48"/>
      <c r="C22" s="72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</row>
    <row r="23" spans="2:28" ht="12" customHeight="1" x14ac:dyDescent="0.2">
      <c r="U23" s="47"/>
      <c r="V23" s="47"/>
      <c r="W23" s="47"/>
    </row>
    <row r="24" spans="2:28" ht="12" customHeight="1" x14ac:dyDescent="0.2">
      <c r="U24" s="47"/>
      <c r="V24" s="47"/>
      <c r="W24" s="47"/>
    </row>
    <row r="25" spans="2:28" ht="12" customHeight="1" x14ac:dyDescent="0.2">
      <c r="U25" s="47"/>
      <c r="V25" s="47"/>
      <c r="W25" s="47"/>
    </row>
    <row r="26" spans="2:28" ht="12" customHeight="1" x14ac:dyDescent="0.2">
      <c r="U26" s="47"/>
      <c r="V26" s="47"/>
      <c r="W26" s="47"/>
    </row>
    <row r="27" spans="2:28" ht="12" customHeight="1" x14ac:dyDescent="0.2">
      <c r="U27" s="47"/>
      <c r="V27" s="47"/>
      <c r="W27" s="47"/>
    </row>
    <row r="28" spans="2:28" ht="12" customHeight="1" x14ac:dyDescent="0.2">
      <c r="U28" s="47"/>
      <c r="V28" s="47"/>
      <c r="W28" s="47"/>
    </row>
    <row r="29" spans="2:28" ht="12" customHeight="1" x14ac:dyDescent="0.2">
      <c r="U29" s="47"/>
      <c r="V29" s="47"/>
      <c r="W29" s="47"/>
    </row>
    <row r="30" spans="2:28" ht="12" customHeight="1" x14ac:dyDescent="0.2">
      <c r="U30" s="47"/>
      <c r="V30" s="47"/>
      <c r="W30" s="47"/>
    </row>
    <row r="31" spans="2:28" ht="12" customHeight="1" x14ac:dyDescent="0.2">
      <c r="U31" s="47"/>
      <c r="V31" s="47"/>
      <c r="W31" s="47"/>
    </row>
    <row r="32" spans="2:28" ht="12" customHeight="1" x14ac:dyDescent="0.2">
      <c r="U32" s="47"/>
      <c r="V32" s="47"/>
      <c r="W32" s="47"/>
    </row>
    <row r="33" spans="21:23" ht="12" customHeight="1" x14ac:dyDescent="0.2">
      <c r="U33" s="47"/>
      <c r="V33" s="47"/>
      <c r="W33" s="47"/>
    </row>
  </sheetData>
  <mergeCells count="14">
    <mergeCell ref="U7:X7"/>
    <mergeCell ref="B20:C20"/>
    <mergeCell ref="B7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D7:S7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8559C-5332-4280-B37D-8757C64C68CB}">
  <sheetPr>
    <tabColor theme="0" tint="-0.34998626667073579"/>
  </sheetPr>
  <dimension ref="B1:AF33"/>
  <sheetViews>
    <sheetView showGridLines="0" zoomScaleNormal="100" zoomScaleSheetLayoutView="100" workbookViewId="0">
      <pane xSplit="3" ySplit="1" topLeftCell="D2" activePane="bottomRight" state="frozen"/>
      <selection activeCell="Q2" sqref="Q2"/>
      <selection pane="topRight" activeCell="Q2" sqref="Q2"/>
      <selection pane="bottomLeft" activeCell="Q2" sqref="Q2"/>
      <selection pane="bottomRight" activeCell="F26" sqref="F26"/>
    </sheetView>
  </sheetViews>
  <sheetFormatPr defaultColWidth="9.140625" defaultRowHeight="12" customHeight="1" x14ac:dyDescent="0.2"/>
  <cols>
    <col min="1" max="1" width="1.140625" style="46" customWidth="1"/>
    <col min="2" max="2" width="2.5703125" style="47" customWidth="1"/>
    <col min="3" max="3" width="32.7109375" style="54" customWidth="1"/>
    <col min="4" max="23" width="9.28515625" style="46" customWidth="1"/>
    <col min="24" max="16384" width="9.140625" style="46"/>
  </cols>
  <sheetData>
    <row r="1" spans="2:28" s="1" customFormat="1" ht="12" hidden="1" customHeight="1" x14ac:dyDescent="0.2">
      <c r="C1" s="2"/>
    </row>
    <row r="2" spans="2:28" s="1" customFormat="1" ht="12" hidden="1" customHeight="1" x14ac:dyDescent="0.2">
      <c r="C2" s="2"/>
    </row>
    <row r="3" spans="2:28" s="1" customFormat="1" ht="12" hidden="1" customHeight="1" x14ac:dyDescent="0.2">
      <c r="C3" s="2"/>
    </row>
    <row r="4" spans="2:28" s="1" customFormat="1" ht="12" hidden="1" customHeight="1" x14ac:dyDescent="0.2">
      <c r="C4" s="2"/>
    </row>
    <row r="5" spans="2:28" s="1" customFormat="1" ht="12" customHeight="1" x14ac:dyDescent="0.2">
      <c r="C5" s="2"/>
    </row>
    <row r="6" spans="2:28" ht="12" customHeight="1" x14ac:dyDescent="0.2">
      <c r="B6" s="97" t="s">
        <v>259</v>
      </c>
      <c r="C6" s="72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</row>
    <row r="7" spans="2:28" ht="12" customHeight="1" x14ac:dyDescent="0.2">
      <c r="B7" s="244" t="s">
        <v>59</v>
      </c>
      <c r="C7" s="257"/>
      <c r="D7" s="256" t="s">
        <v>122</v>
      </c>
      <c r="E7" s="219"/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U7" s="199" t="s">
        <v>122</v>
      </c>
      <c r="V7" s="179"/>
      <c r="W7" s="179"/>
      <c r="X7" s="180"/>
    </row>
    <row r="8" spans="2:28" ht="12" customHeight="1" x14ac:dyDescent="0.2">
      <c r="B8" s="258"/>
      <c r="C8" s="259"/>
      <c r="D8" s="4" t="s">
        <v>235</v>
      </c>
      <c r="E8" s="4" t="s">
        <v>236</v>
      </c>
      <c r="F8" s="4" t="s">
        <v>237</v>
      </c>
      <c r="G8" s="4" t="s">
        <v>238</v>
      </c>
      <c r="H8" s="4" t="s">
        <v>239</v>
      </c>
      <c r="I8" s="4" t="s">
        <v>240</v>
      </c>
      <c r="J8" s="4" t="s">
        <v>241</v>
      </c>
      <c r="K8" s="4" t="s">
        <v>242</v>
      </c>
      <c r="L8" s="4" t="s">
        <v>243</v>
      </c>
      <c r="M8" s="4" t="s">
        <v>244</v>
      </c>
      <c r="N8" s="4" t="s">
        <v>245</v>
      </c>
      <c r="O8" s="4" t="s">
        <v>246</v>
      </c>
      <c r="P8" s="4" t="s">
        <v>299</v>
      </c>
      <c r="Q8" s="4" t="s">
        <v>301</v>
      </c>
      <c r="R8" s="4" t="s">
        <v>305</v>
      </c>
      <c r="S8" s="4" t="s">
        <v>310</v>
      </c>
      <c r="U8" s="92">
        <v>2018</v>
      </c>
      <c r="V8" s="92">
        <v>2019</v>
      </c>
      <c r="W8" s="92">
        <v>2020</v>
      </c>
      <c r="X8" s="121">
        <v>2021</v>
      </c>
    </row>
    <row r="9" spans="2:28" ht="12" customHeight="1" x14ac:dyDescent="0.2">
      <c r="B9" s="251" t="s">
        <v>204</v>
      </c>
      <c r="C9" s="252"/>
      <c r="D9" s="52">
        <f>'Segmenty 2018'!O6</f>
        <v>48872</v>
      </c>
      <c r="E9" s="52">
        <f>'Segmenty 2018'!O23</f>
        <v>45297</v>
      </c>
      <c r="F9" s="52">
        <f>'Segmenty 2018'!O40</f>
        <v>40758</v>
      </c>
      <c r="G9" s="52">
        <f>'Segmenty 2018'!O57</f>
        <v>48609</v>
      </c>
      <c r="H9" s="52">
        <f>'Segmenty 2019'!O6</f>
        <v>56702</v>
      </c>
      <c r="I9" s="52">
        <f>'Segmenty 2019'!O23</f>
        <v>54517</v>
      </c>
      <c r="J9" s="52">
        <f>'Segmenty 2019'!O40</f>
        <v>63327</v>
      </c>
      <c r="K9" s="52">
        <f>'Segmenty 2019'!O57</f>
        <v>69001</v>
      </c>
      <c r="L9" s="52">
        <f>'Segmenty 2020'!O6</f>
        <v>80276</v>
      </c>
      <c r="M9" s="52">
        <f>'Segmenty 2020'!O23</f>
        <v>67257</v>
      </c>
      <c r="N9" s="52">
        <f>'Segmenty 2020'!O40</f>
        <v>50857</v>
      </c>
      <c r="O9" s="52">
        <v>52585</v>
      </c>
      <c r="P9" s="52">
        <v>71146</v>
      </c>
      <c r="Q9" s="52">
        <v>64896</v>
      </c>
      <c r="R9" s="52">
        <v>68578</v>
      </c>
      <c r="S9" s="52">
        <v>65007</v>
      </c>
      <c r="U9" s="52">
        <f>SUM(D9:G9)</f>
        <v>183536</v>
      </c>
      <c r="V9" s="52">
        <f>SUM(H9:K9)</f>
        <v>243547</v>
      </c>
      <c r="W9" s="52">
        <f>SUM(L9:O9)</f>
        <v>250975</v>
      </c>
      <c r="X9" s="52">
        <f>SUM($P9:S9)</f>
        <v>269627</v>
      </c>
    </row>
    <row r="10" spans="2:28" ht="12" customHeight="1" x14ac:dyDescent="0.2">
      <c r="B10" s="251" t="s">
        <v>33</v>
      </c>
      <c r="C10" s="252"/>
      <c r="D10" s="52">
        <f>'Segmenty 2018'!O7</f>
        <v>35215</v>
      </c>
      <c r="E10" s="52">
        <f>'Segmenty 2018'!O24</f>
        <v>34922</v>
      </c>
      <c r="F10" s="52">
        <f>'Segmenty 2018'!O41</f>
        <v>32788</v>
      </c>
      <c r="G10" s="52">
        <f>'Segmenty 2018'!O58</f>
        <v>39627</v>
      </c>
      <c r="H10" s="52">
        <f>'Segmenty 2019'!O7</f>
        <v>42503</v>
      </c>
      <c r="I10" s="52">
        <f>'Segmenty 2019'!O24</f>
        <v>42715</v>
      </c>
      <c r="J10" s="52">
        <f>'Segmenty 2019'!O41</f>
        <v>49420</v>
      </c>
      <c r="K10" s="52">
        <f>'Segmenty 2019'!O58</f>
        <v>51429</v>
      </c>
      <c r="L10" s="52">
        <v>60006</v>
      </c>
      <c r="M10" s="52">
        <v>49779</v>
      </c>
      <c r="N10" s="52">
        <v>40435</v>
      </c>
      <c r="O10" s="52">
        <v>45883</v>
      </c>
      <c r="P10" s="52">
        <v>52963</v>
      </c>
      <c r="Q10" s="52">
        <v>51601</v>
      </c>
      <c r="R10" s="52">
        <v>56943</v>
      </c>
      <c r="S10" s="52">
        <v>53917</v>
      </c>
      <c r="U10" s="52">
        <f>SUM(D10:G10)</f>
        <v>142552</v>
      </c>
      <c r="V10" s="52">
        <f>SUM(H10:K10)</f>
        <v>186067</v>
      </c>
      <c r="W10" s="52">
        <f>SUM(L10:O10)</f>
        <v>196103</v>
      </c>
      <c r="X10" s="52">
        <f>SUM($P10:S10)</f>
        <v>215424</v>
      </c>
      <c r="AB10" s="114"/>
    </row>
    <row r="11" spans="2:28" ht="12" customHeight="1" x14ac:dyDescent="0.2">
      <c r="B11" s="187" t="s">
        <v>205</v>
      </c>
      <c r="C11" s="187"/>
      <c r="D11" s="44">
        <f>D9-D10</f>
        <v>13657</v>
      </c>
      <c r="E11" s="44">
        <f t="shared" ref="E11:R11" si="0">E9-E10</f>
        <v>10375</v>
      </c>
      <c r="F11" s="44">
        <f t="shared" si="0"/>
        <v>7970</v>
      </c>
      <c r="G11" s="44">
        <f t="shared" si="0"/>
        <v>8982</v>
      </c>
      <c r="H11" s="44">
        <f t="shared" si="0"/>
        <v>14199</v>
      </c>
      <c r="I11" s="44">
        <f t="shared" si="0"/>
        <v>11802</v>
      </c>
      <c r="J11" s="44">
        <f t="shared" si="0"/>
        <v>13907</v>
      </c>
      <c r="K11" s="44">
        <f t="shared" si="0"/>
        <v>17572</v>
      </c>
      <c r="L11" s="44">
        <f t="shared" si="0"/>
        <v>20270</v>
      </c>
      <c r="M11" s="44">
        <f t="shared" si="0"/>
        <v>17478</v>
      </c>
      <c r="N11" s="44">
        <f t="shared" si="0"/>
        <v>10422</v>
      </c>
      <c r="O11" s="44">
        <f t="shared" si="0"/>
        <v>6702</v>
      </c>
      <c r="P11" s="44">
        <f t="shared" si="0"/>
        <v>18183</v>
      </c>
      <c r="Q11" s="44">
        <f t="shared" si="0"/>
        <v>13295</v>
      </c>
      <c r="R11" s="44">
        <f t="shared" si="0"/>
        <v>11635</v>
      </c>
      <c r="S11" s="44">
        <f t="shared" ref="S11" si="1">S9-S10</f>
        <v>11090</v>
      </c>
      <c r="U11" s="44">
        <f t="shared" ref="U11:X11" si="2">U9-U10</f>
        <v>40984</v>
      </c>
      <c r="V11" s="44">
        <f t="shared" si="2"/>
        <v>57480</v>
      </c>
      <c r="W11" s="44">
        <f t="shared" si="2"/>
        <v>54872</v>
      </c>
      <c r="X11" s="44">
        <f t="shared" si="2"/>
        <v>54203</v>
      </c>
      <c r="AB11" s="114"/>
    </row>
    <row r="12" spans="2:28" ht="12" customHeight="1" x14ac:dyDescent="0.2">
      <c r="B12" s="235" t="s">
        <v>4</v>
      </c>
      <c r="C12" s="236"/>
      <c r="D12" s="52">
        <f>'Segmenty 2018'!O9</f>
        <v>1170</v>
      </c>
      <c r="E12" s="52">
        <f>'Segmenty 2018'!O26</f>
        <v>1478</v>
      </c>
      <c r="F12" s="52">
        <f>'Segmenty 2018'!O43</f>
        <v>1691</v>
      </c>
      <c r="G12" s="52">
        <f>'Segmenty 2018'!O60</f>
        <v>1564</v>
      </c>
      <c r="H12" s="52">
        <f>'Segmenty 2019'!O9</f>
        <v>1265</v>
      </c>
      <c r="I12" s="52">
        <f>'Segmenty 2019'!O26</f>
        <v>1572</v>
      </c>
      <c r="J12" s="52">
        <f>'Segmenty 2019'!O43</f>
        <v>1601</v>
      </c>
      <c r="K12" s="52">
        <f>'Segmenty 2019'!O60</f>
        <v>1980</v>
      </c>
      <c r="L12" s="52">
        <f>'Segmenty 2020'!O9</f>
        <v>1614</v>
      </c>
      <c r="M12" s="52">
        <f>'Segmenty 2020'!O26</f>
        <v>1666</v>
      </c>
      <c r="N12" s="52">
        <v>1105</v>
      </c>
      <c r="O12" s="52">
        <v>1108</v>
      </c>
      <c r="P12" s="52">
        <v>1886</v>
      </c>
      <c r="Q12" s="52">
        <v>2051</v>
      </c>
      <c r="R12" s="52">
        <v>1958</v>
      </c>
      <c r="S12" s="52">
        <v>3086</v>
      </c>
      <c r="U12" s="52">
        <f t="shared" ref="U12:U13" si="3">SUM(D12:G12)</f>
        <v>5903</v>
      </c>
      <c r="V12" s="52">
        <f t="shared" ref="V12:V13" si="4">SUM(H12:K12)</f>
        <v>6418</v>
      </c>
      <c r="W12" s="52">
        <f t="shared" ref="W12:W13" si="5">SUM(L12:O12)</f>
        <v>5493</v>
      </c>
      <c r="X12" s="52">
        <f>SUM($P12:S12)</f>
        <v>8981</v>
      </c>
      <c r="AB12" s="114"/>
    </row>
    <row r="13" spans="2:28" ht="12" customHeight="1" x14ac:dyDescent="0.2">
      <c r="B13" s="235" t="s">
        <v>5</v>
      </c>
      <c r="C13" s="236"/>
      <c r="D13" s="52">
        <f>'Segmenty 2018'!O10</f>
        <v>6642</v>
      </c>
      <c r="E13" s="52">
        <f>'Segmenty 2018'!O27</f>
        <v>4752</v>
      </c>
      <c r="F13" s="52">
        <f>'Segmenty 2018'!O44</f>
        <v>5418</v>
      </c>
      <c r="G13" s="52">
        <f>'Segmenty 2018'!O61</f>
        <v>5311</v>
      </c>
      <c r="H13" s="52">
        <f>'Segmenty 2019'!O10</f>
        <v>6467</v>
      </c>
      <c r="I13" s="52">
        <f>'Segmenty 2019'!O27</f>
        <v>5810</v>
      </c>
      <c r="J13" s="52">
        <f>'Segmenty 2019'!O44</f>
        <v>6331</v>
      </c>
      <c r="K13" s="52">
        <f>'Segmenty 2019'!O61</f>
        <v>6205</v>
      </c>
      <c r="L13" s="52">
        <f>'Segmenty 2020'!O10</f>
        <v>7516</v>
      </c>
      <c r="M13" s="52">
        <f>'Segmenty 2020'!O27</f>
        <v>6470</v>
      </c>
      <c r="N13" s="52">
        <v>6359</v>
      </c>
      <c r="O13" s="52">
        <f>6204+1</f>
        <v>6205</v>
      </c>
      <c r="P13" s="52">
        <v>7542</v>
      </c>
      <c r="Q13" s="52">
        <v>6656</v>
      </c>
      <c r="R13" s="52">
        <v>6059</v>
      </c>
      <c r="S13" s="52">
        <v>6303</v>
      </c>
      <c r="U13" s="52">
        <f t="shared" si="3"/>
        <v>22123</v>
      </c>
      <c r="V13" s="52">
        <f t="shared" si="4"/>
        <v>24813</v>
      </c>
      <c r="W13" s="52">
        <f t="shared" si="5"/>
        <v>26550</v>
      </c>
      <c r="X13" s="52">
        <f>SUM($P13:S13)</f>
        <v>26560</v>
      </c>
      <c r="AB13" s="114"/>
    </row>
    <row r="14" spans="2:28" ht="12" customHeight="1" x14ac:dyDescent="0.2">
      <c r="B14" s="187" t="s">
        <v>206</v>
      </c>
      <c r="C14" s="187"/>
      <c r="D14" s="44">
        <f>D11-D12-D13</f>
        <v>5845</v>
      </c>
      <c r="E14" s="44">
        <f t="shared" ref="E14:R14" si="6">E11-E12-E13</f>
        <v>4145</v>
      </c>
      <c r="F14" s="44">
        <f t="shared" si="6"/>
        <v>861</v>
      </c>
      <c r="G14" s="44">
        <f t="shared" si="6"/>
        <v>2107</v>
      </c>
      <c r="H14" s="44">
        <f t="shared" si="6"/>
        <v>6467</v>
      </c>
      <c r="I14" s="44">
        <f t="shared" si="6"/>
        <v>4420</v>
      </c>
      <c r="J14" s="44">
        <f t="shared" si="6"/>
        <v>5975</v>
      </c>
      <c r="K14" s="44">
        <f t="shared" si="6"/>
        <v>9387</v>
      </c>
      <c r="L14" s="44">
        <f t="shared" si="6"/>
        <v>11140</v>
      </c>
      <c r="M14" s="44">
        <f t="shared" si="6"/>
        <v>9342</v>
      </c>
      <c r="N14" s="44">
        <f t="shared" si="6"/>
        <v>2958</v>
      </c>
      <c r="O14" s="44">
        <f t="shared" si="6"/>
        <v>-611</v>
      </c>
      <c r="P14" s="44">
        <f t="shared" si="6"/>
        <v>8755</v>
      </c>
      <c r="Q14" s="44">
        <f t="shared" si="6"/>
        <v>4588</v>
      </c>
      <c r="R14" s="44">
        <f t="shared" si="6"/>
        <v>3618</v>
      </c>
      <c r="S14" s="44">
        <f t="shared" ref="S14" si="7">S11-S12-S13</f>
        <v>1701</v>
      </c>
      <c r="U14" s="44">
        <f t="shared" ref="U14:X14" si="8">U11-U12-U13</f>
        <v>12958</v>
      </c>
      <c r="V14" s="44">
        <f t="shared" si="8"/>
        <v>26249</v>
      </c>
      <c r="W14" s="44">
        <f t="shared" si="8"/>
        <v>22829</v>
      </c>
      <c r="X14" s="44">
        <f t="shared" si="8"/>
        <v>18662</v>
      </c>
      <c r="AB14" s="114"/>
    </row>
    <row r="15" spans="2:28" ht="12" customHeight="1" x14ac:dyDescent="0.2">
      <c r="B15" s="235" t="s">
        <v>207</v>
      </c>
      <c r="C15" s="236"/>
      <c r="D15" s="52">
        <f>'Segmenty 2018'!O12</f>
        <v>-92</v>
      </c>
      <c r="E15" s="52">
        <f>'Segmenty 2018'!O29</f>
        <v>113</v>
      </c>
      <c r="F15" s="52">
        <f>'Segmenty 2018'!O46</f>
        <v>130</v>
      </c>
      <c r="G15" s="52">
        <f>'Segmenty 2018'!O63</f>
        <v>438</v>
      </c>
      <c r="H15" s="52">
        <f>'Segmenty 2019'!O12</f>
        <v>-76</v>
      </c>
      <c r="I15" s="52">
        <f>'Segmenty 2019'!O29</f>
        <v>40</v>
      </c>
      <c r="J15" s="52">
        <f>'Segmenty 2019'!O46</f>
        <v>1833</v>
      </c>
      <c r="K15" s="52">
        <f>'Segmenty 2019'!O63</f>
        <v>167</v>
      </c>
      <c r="L15" s="52">
        <v>13</v>
      </c>
      <c r="M15" s="52">
        <v>-35</v>
      </c>
      <c r="N15" s="52">
        <v>-212</v>
      </c>
      <c r="O15" s="52">
        <v>-183</v>
      </c>
      <c r="P15" s="52">
        <v>937</v>
      </c>
      <c r="Q15" s="52">
        <v>71</v>
      </c>
      <c r="R15" s="52">
        <v>1104</v>
      </c>
      <c r="S15" s="52">
        <v>147</v>
      </c>
      <c r="U15" s="52">
        <f t="shared" ref="U15:U17" si="9">SUM(D15:G15)</f>
        <v>589</v>
      </c>
      <c r="V15" s="52">
        <f t="shared" ref="V15:V17" si="10">SUM(H15:K15)</f>
        <v>1964</v>
      </c>
      <c r="W15" s="52">
        <f t="shared" ref="W15:W17" si="11">SUM(L15:O15)</f>
        <v>-417</v>
      </c>
      <c r="X15" s="52">
        <f>SUM($P15:S15)</f>
        <v>2259</v>
      </c>
      <c r="AB15" s="114"/>
    </row>
    <row r="16" spans="2:28" ht="12" customHeight="1" x14ac:dyDescent="0.2">
      <c r="B16" s="237" t="s">
        <v>208</v>
      </c>
      <c r="C16" s="250"/>
      <c r="D16" s="52">
        <f>'Segmenty 2018'!O13</f>
        <v>0</v>
      </c>
      <c r="E16" s="52">
        <f>'Segmenty 2018'!O30</f>
        <v>13</v>
      </c>
      <c r="F16" s="52">
        <f>'Segmenty 2018'!O47</f>
        <v>0</v>
      </c>
      <c r="G16" s="52">
        <f>'Segmenty 2018'!O64</f>
        <v>9</v>
      </c>
      <c r="H16" s="52">
        <f>'Segmenty 2019'!O13</f>
        <v>0</v>
      </c>
      <c r="I16" s="52">
        <f>'Segmenty 2019'!O30</f>
        <v>0</v>
      </c>
      <c r="J16" s="52">
        <f>'Segmenty 2019'!O47</f>
        <v>0</v>
      </c>
      <c r="K16" s="52">
        <f>'Segmenty 2019'!O64</f>
        <v>-277</v>
      </c>
      <c r="L16" s="52">
        <f>'Segmenty 2020'!O13</f>
        <v>0</v>
      </c>
      <c r="M16" s="52">
        <f>'Segmenty 2020'!O30</f>
        <v>0</v>
      </c>
      <c r="N16" s="52">
        <f>'Segmenty 2020'!O47</f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U16" s="52">
        <f t="shared" si="9"/>
        <v>22</v>
      </c>
      <c r="V16" s="52">
        <f t="shared" si="10"/>
        <v>-277</v>
      </c>
      <c r="W16" s="52">
        <f t="shared" si="11"/>
        <v>0</v>
      </c>
      <c r="X16" s="52">
        <f>SUM($P16:S16)</f>
        <v>0</v>
      </c>
      <c r="AB16" s="114"/>
    </row>
    <row r="17" spans="2:32" ht="12" customHeight="1" x14ac:dyDescent="0.2">
      <c r="B17" s="237" t="s">
        <v>27</v>
      </c>
      <c r="C17" s="250"/>
      <c r="D17" s="52">
        <f>'Segmenty 2018'!O14</f>
        <v>0</v>
      </c>
      <c r="E17" s="52">
        <f>'Segmenty 2018'!O31</f>
        <v>0</v>
      </c>
      <c r="F17" s="52">
        <f>'Segmenty 2018'!O48</f>
        <v>0</v>
      </c>
      <c r="G17" s="52">
        <f>'Segmenty 2018'!O65</f>
        <v>0</v>
      </c>
      <c r="H17" s="52">
        <f>'Segmenty 2019'!O14</f>
        <v>0</v>
      </c>
      <c r="I17" s="52">
        <f>'Segmenty 2019'!O31</f>
        <v>0</v>
      </c>
      <c r="J17" s="52">
        <f>'Segmenty 2019'!O48</f>
        <v>0</v>
      </c>
      <c r="K17" s="52">
        <f>'Segmenty 2019'!O65</f>
        <v>0</v>
      </c>
      <c r="L17" s="52">
        <f>'Segmenty 2020'!O14</f>
        <v>0</v>
      </c>
      <c r="M17" s="52">
        <f>'Segmenty 2020'!O31</f>
        <v>0</v>
      </c>
      <c r="N17" s="52">
        <f>'Segmenty 2020'!O48</f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U17" s="52">
        <f t="shared" si="9"/>
        <v>0</v>
      </c>
      <c r="V17" s="52">
        <f t="shared" si="10"/>
        <v>0</v>
      </c>
      <c r="W17" s="52">
        <f t="shared" si="11"/>
        <v>0</v>
      </c>
      <c r="X17" s="52">
        <f>SUM($P17:S17)</f>
        <v>0</v>
      </c>
      <c r="AB17" s="114"/>
    </row>
    <row r="18" spans="2:32" ht="12" customHeight="1" x14ac:dyDescent="0.2">
      <c r="B18" s="187" t="s">
        <v>209</v>
      </c>
      <c r="C18" s="187"/>
      <c r="D18" s="44">
        <f t="shared" ref="D18:R18" si="12">D14+D15+D16+D17</f>
        <v>5753</v>
      </c>
      <c r="E18" s="44">
        <f t="shared" si="12"/>
        <v>4271</v>
      </c>
      <c r="F18" s="44">
        <f t="shared" si="12"/>
        <v>991</v>
      </c>
      <c r="G18" s="44">
        <f t="shared" si="12"/>
        <v>2554</v>
      </c>
      <c r="H18" s="44">
        <f t="shared" si="12"/>
        <v>6391</v>
      </c>
      <c r="I18" s="44">
        <f t="shared" si="12"/>
        <v>4460</v>
      </c>
      <c r="J18" s="44">
        <f t="shared" si="12"/>
        <v>7808</v>
      </c>
      <c r="K18" s="44">
        <f t="shared" si="12"/>
        <v>9277</v>
      </c>
      <c r="L18" s="44">
        <f t="shared" si="12"/>
        <v>11153</v>
      </c>
      <c r="M18" s="44">
        <f t="shared" si="12"/>
        <v>9307</v>
      </c>
      <c r="N18" s="44">
        <f t="shared" si="12"/>
        <v>2746</v>
      </c>
      <c r="O18" s="44">
        <f t="shared" si="12"/>
        <v>-794</v>
      </c>
      <c r="P18" s="44">
        <f t="shared" si="12"/>
        <v>9692</v>
      </c>
      <c r="Q18" s="44">
        <f t="shared" si="12"/>
        <v>4659</v>
      </c>
      <c r="R18" s="44">
        <f t="shared" si="12"/>
        <v>4722</v>
      </c>
      <c r="S18" s="44">
        <f t="shared" ref="S18" si="13">S14+S15+S16+S17</f>
        <v>1848</v>
      </c>
      <c r="U18" s="44">
        <f t="shared" ref="U18:X18" si="14">U14+U15+U16+U17</f>
        <v>13569</v>
      </c>
      <c r="V18" s="44">
        <f t="shared" si="14"/>
        <v>27936</v>
      </c>
      <c r="W18" s="44">
        <f t="shared" si="14"/>
        <v>22412</v>
      </c>
      <c r="X18" s="44">
        <f t="shared" si="14"/>
        <v>20921</v>
      </c>
      <c r="AB18" s="114"/>
    </row>
    <row r="19" spans="2:32" ht="12" customHeight="1" x14ac:dyDescent="0.2">
      <c r="B19" s="94" t="s">
        <v>22</v>
      </c>
      <c r="C19" s="93"/>
      <c r="D19" s="52">
        <f>'Segmenty 2018'!O16</f>
        <v>2923</v>
      </c>
      <c r="E19" s="52">
        <f>'Segmenty 2018'!O33</f>
        <v>3140</v>
      </c>
      <c r="F19" s="52">
        <f>'Segmenty 2018'!O50</f>
        <v>3126</v>
      </c>
      <c r="G19" s="52">
        <f>'Segmenty 2018'!O67</f>
        <v>3171</v>
      </c>
      <c r="H19" s="52">
        <f>'Segmenty 2019'!O16</f>
        <v>3369</v>
      </c>
      <c r="I19" s="52">
        <f>'Segmenty 2019'!O33</f>
        <v>4522</v>
      </c>
      <c r="J19" s="52">
        <f>'Segmenty 2019'!O50</f>
        <v>3806</v>
      </c>
      <c r="K19" s="52">
        <f>'Segmenty 2019'!O67</f>
        <v>3718</v>
      </c>
      <c r="L19" s="52">
        <f>'Segmenty 2020'!O16</f>
        <v>3751</v>
      </c>
      <c r="M19" s="52">
        <f>'Segmenty 2020'!O33</f>
        <v>3917</v>
      </c>
      <c r="N19" s="52">
        <v>4110</v>
      </c>
      <c r="O19" s="52">
        <v>3817</v>
      </c>
      <c r="P19" s="52">
        <v>4334</v>
      </c>
      <c r="Q19" s="52">
        <v>4253</v>
      </c>
      <c r="R19" s="52">
        <v>4343</v>
      </c>
      <c r="S19" s="52">
        <v>4350</v>
      </c>
      <c r="U19" s="52">
        <f>SUM(D19:G19)</f>
        <v>12360</v>
      </c>
      <c r="V19" s="52">
        <f>SUM(H19:K19)</f>
        <v>15415</v>
      </c>
      <c r="W19" s="52">
        <f>SUM(L19:O19)</f>
        <v>15595</v>
      </c>
      <c r="X19" s="52">
        <f>SUM($P19:S19)</f>
        <v>17280</v>
      </c>
      <c r="AB19" s="114"/>
    </row>
    <row r="20" spans="2:32" ht="12" customHeight="1" x14ac:dyDescent="0.2">
      <c r="B20" s="187" t="s">
        <v>23</v>
      </c>
      <c r="C20" s="187"/>
      <c r="D20" s="44">
        <f>D18+D19</f>
        <v>8676</v>
      </c>
      <c r="E20" s="44">
        <f t="shared" ref="E20:R20" si="15">E18+E19</f>
        <v>7411</v>
      </c>
      <c r="F20" s="44">
        <f t="shared" si="15"/>
        <v>4117</v>
      </c>
      <c r="G20" s="44">
        <f t="shared" si="15"/>
        <v>5725</v>
      </c>
      <c r="H20" s="44">
        <f t="shared" si="15"/>
        <v>9760</v>
      </c>
      <c r="I20" s="44">
        <f t="shared" si="15"/>
        <v>8982</v>
      </c>
      <c r="J20" s="44">
        <f t="shared" si="15"/>
        <v>11614</v>
      </c>
      <c r="K20" s="44">
        <f t="shared" si="15"/>
        <v>12995</v>
      </c>
      <c r="L20" s="44">
        <f t="shared" si="15"/>
        <v>14904</v>
      </c>
      <c r="M20" s="44">
        <f t="shared" si="15"/>
        <v>13224</v>
      </c>
      <c r="N20" s="44">
        <f t="shared" si="15"/>
        <v>6856</v>
      </c>
      <c r="O20" s="44">
        <f t="shared" si="15"/>
        <v>3023</v>
      </c>
      <c r="P20" s="44">
        <f t="shared" si="15"/>
        <v>14026</v>
      </c>
      <c r="Q20" s="44">
        <f t="shared" si="15"/>
        <v>8912</v>
      </c>
      <c r="R20" s="44">
        <f t="shared" si="15"/>
        <v>9065</v>
      </c>
      <c r="S20" s="44">
        <f t="shared" ref="S20" si="16">S18+S19</f>
        <v>6198</v>
      </c>
      <c r="U20" s="44">
        <f t="shared" ref="U20:X20" si="17">U18+U19</f>
        <v>25929</v>
      </c>
      <c r="V20" s="44">
        <f t="shared" si="17"/>
        <v>43351</v>
      </c>
      <c r="W20" s="44">
        <f t="shared" si="17"/>
        <v>38007</v>
      </c>
      <c r="X20" s="44">
        <f t="shared" si="17"/>
        <v>38201</v>
      </c>
      <c r="AB20" s="47"/>
    </row>
    <row r="21" spans="2:32" s="47" customFormat="1" ht="12" customHeight="1" x14ac:dyDescent="0.2">
      <c r="B21" s="79"/>
      <c r="C21" s="80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AC21" s="46"/>
      <c r="AF21" s="46"/>
    </row>
    <row r="22" spans="2:32" s="47" customFormat="1" ht="12" customHeight="1" x14ac:dyDescent="0.2">
      <c r="B22" s="48"/>
      <c r="C22" s="72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</row>
    <row r="23" spans="2:32" ht="12" customHeight="1" x14ac:dyDescent="0.2">
      <c r="U23" s="47"/>
      <c r="V23" s="47"/>
      <c r="W23" s="47"/>
    </row>
    <row r="24" spans="2:32" ht="12" customHeight="1" x14ac:dyDescent="0.2">
      <c r="U24" s="47"/>
      <c r="V24" s="47"/>
      <c r="W24" s="47"/>
    </row>
    <row r="25" spans="2:32" ht="12" customHeight="1" x14ac:dyDescent="0.2">
      <c r="U25" s="47"/>
      <c r="V25" s="47"/>
      <c r="W25" s="47"/>
    </row>
    <row r="26" spans="2:32" ht="12" customHeight="1" x14ac:dyDescent="0.2">
      <c r="U26" s="47"/>
      <c r="V26" s="47"/>
      <c r="W26" s="47"/>
    </row>
    <row r="27" spans="2:32" ht="12" customHeight="1" x14ac:dyDescent="0.2">
      <c r="U27" s="47"/>
      <c r="V27" s="47"/>
      <c r="W27" s="47"/>
    </row>
    <row r="28" spans="2:32" ht="12" customHeight="1" x14ac:dyDescent="0.2">
      <c r="U28" s="47"/>
      <c r="V28" s="47"/>
      <c r="W28" s="47"/>
    </row>
    <row r="29" spans="2:32" ht="12" customHeight="1" x14ac:dyDescent="0.2">
      <c r="U29" s="47"/>
      <c r="V29" s="47"/>
      <c r="W29" s="47"/>
    </row>
    <row r="30" spans="2:32" ht="12" customHeight="1" x14ac:dyDescent="0.2">
      <c r="U30" s="47"/>
      <c r="V30" s="47"/>
      <c r="W30" s="47"/>
    </row>
    <row r="31" spans="2:32" ht="12" customHeight="1" x14ac:dyDescent="0.2">
      <c r="U31" s="47"/>
      <c r="V31" s="47"/>
      <c r="W31" s="47"/>
    </row>
    <row r="32" spans="2:32" ht="12" customHeight="1" x14ac:dyDescent="0.2">
      <c r="U32" s="47"/>
      <c r="V32" s="47"/>
      <c r="W32" s="47"/>
    </row>
    <row r="33" spans="21:23" ht="12" customHeight="1" x14ac:dyDescent="0.2">
      <c r="U33" s="47"/>
      <c r="V33" s="47"/>
      <c r="W33" s="47"/>
    </row>
  </sheetData>
  <mergeCells count="14">
    <mergeCell ref="U7:X7"/>
    <mergeCell ref="B20:C20"/>
    <mergeCell ref="B7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D7:S7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B9ACE-1045-49F5-94C6-73B859DFA025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8BE0D-6781-4218-9381-ED4895D77BAC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63EA2-93B6-4263-A56D-4BB6B20BBADC}">
  <sheetPr>
    <tabColor rgb="FFC00000"/>
    <pageSetUpPr fitToPage="1"/>
  </sheetPr>
  <dimension ref="B1:M37"/>
  <sheetViews>
    <sheetView showGridLines="0" tabSelected="1" zoomScaleNormal="100" zoomScaleSheetLayoutView="100" workbookViewId="0">
      <pane xSplit="2" ySplit="9" topLeftCell="C10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J34" sqref="J34"/>
    </sheetView>
  </sheetViews>
  <sheetFormatPr defaultColWidth="9.140625" defaultRowHeight="12" customHeight="1" x14ac:dyDescent="0.2"/>
  <cols>
    <col min="1" max="1" width="1.140625" style="3" customWidth="1"/>
    <col min="2" max="2" width="51.28515625" style="16" customWidth="1"/>
    <col min="3" max="5" width="10.7109375" style="3" hidden="1" customWidth="1"/>
    <col min="6" max="6" width="8" style="3" hidden="1" customWidth="1"/>
    <col min="7" max="7" width="0.140625" style="3" customWidth="1"/>
    <col min="8" max="11" width="9.28515625" style="3" customWidth="1"/>
    <col min="12" max="16384" width="9.140625" style="3"/>
  </cols>
  <sheetData>
    <row r="1" spans="2:12" s="1" customFormat="1" ht="12" hidden="1" customHeight="1" x14ac:dyDescent="0.2">
      <c r="B1" s="2"/>
    </row>
    <row r="2" spans="2:12" s="1" customFormat="1" ht="12" hidden="1" customHeight="1" x14ac:dyDescent="0.2">
      <c r="B2" s="2"/>
    </row>
    <row r="3" spans="2:12" s="1" customFormat="1" ht="12" hidden="1" customHeight="1" x14ac:dyDescent="0.2">
      <c r="B3" s="2"/>
    </row>
    <row r="4" spans="2:12" s="1" customFormat="1" ht="12" hidden="1" customHeight="1" x14ac:dyDescent="0.2">
      <c r="B4" s="2"/>
    </row>
    <row r="5" spans="2:12" s="1" customFormat="1" ht="12" hidden="1" customHeight="1" x14ac:dyDescent="0.2">
      <c r="B5" s="2"/>
    </row>
    <row r="6" spans="2:12" s="1" customFormat="1" ht="17.25" customHeight="1" x14ac:dyDescent="0.2">
      <c r="B6" s="2"/>
    </row>
    <row r="7" spans="2:12" s="99" customFormat="1" ht="12" customHeight="1" x14ac:dyDescent="0.2">
      <c r="B7" s="97" t="s">
        <v>287</v>
      </c>
      <c r="C7" s="97"/>
      <c r="D7" s="97"/>
      <c r="E7" s="97"/>
      <c r="F7" s="97"/>
      <c r="H7" s="97"/>
      <c r="I7" s="97"/>
      <c r="J7" s="97"/>
      <c r="K7" s="97"/>
    </row>
    <row r="8" spans="2:12" ht="12" customHeight="1" x14ac:dyDescent="0.2">
      <c r="B8" s="176" t="s">
        <v>59</v>
      </c>
      <c r="C8" s="146"/>
      <c r="D8" s="146"/>
      <c r="E8" s="146"/>
      <c r="F8" s="146"/>
      <c r="G8" s="163"/>
      <c r="H8" s="178" t="s">
        <v>122</v>
      </c>
      <c r="I8" s="179"/>
      <c r="J8" s="179"/>
      <c r="K8" s="180"/>
    </row>
    <row r="9" spans="2:12" ht="12" customHeight="1" x14ac:dyDescent="0.2">
      <c r="B9" s="177"/>
      <c r="C9" s="147" t="s">
        <v>51</v>
      </c>
      <c r="D9" s="147" t="s">
        <v>52</v>
      </c>
      <c r="E9" s="147" t="s">
        <v>53</v>
      </c>
      <c r="F9" s="147" t="s">
        <v>54</v>
      </c>
      <c r="G9" s="163"/>
      <c r="H9" s="164">
        <v>2018</v>
      </c>
      <c r="I9" s="164">
        <v>2019</v>
      </c>
      <c r="J9" s="164">
        <v>2020</v>
      </c>
      <c r="K9" s="164">
        <v>2021</v>
      </c>
    </row>
    <row r="10" spans="2:12" s="15" customFormat="1" ht="12" customHeight="1" x14ac:dyDescent="0.2">
      <c r="B10" s="149" t="s">
        <v>274</v>
      </c>
      <c r="C10" s="44"/>
      <c r="D10" s="44"/>
      <c r="E10" s="44"/>
      <c r="F10" s="44"/>
      <c r="G10" s="150"/>
      <c r="H10" s="7">
        <f>'P&amp;L(y)'!I10</f>
        <v>827802</v>
      </c>
      <c r="I10" s="7">
        <f>'P&amp;L(y)'!J10</f>
        <v>877593</v>
      </c>
      <c r="J10" s="7">
        <f>'P&amp;L(y)'!K10</f>
        <v>934850</v>
      </c>
      <c r="K10" s="7">
        <f>'P&amp;L(y)'!L10</f>
        <v>940083</v>
      </c>
    </row>
    <row r="11" spans="2:12" ht="12" customHeight="1" x14ac:dyDescent="0.2">
      <c r="B11" s="148" t="s">
        <v>8</v>
      </c>
      <c r="C11" s="44"/>
      <c r="D11" s="44"/>
      <c r="E11" s="44"/>
      <c r="F11" s="44"/>
      <c r="G11" s="8"/>
      <c r="H11" s="14">
        <f>'P&amp;L(y)'!I25</f>
        <v>91125</v>
      </c>
      <c r="I11" s="14">
        <f>'P&amp;L(y)'!J25</f>
        <v>76417</v>
      </c>
      <c r="J11" s="14">
        <f>'P&amp;L(y)'!K25</f>
        <v>78591</v>
      </c>
      <c r="K11" s="14">
        <f>'P&amp;L(y)'!L25</f>
        <v>94801</v>
      </c>
      <c r="L11" s="15"/>
    </row>
    <row r="12" spans="2:12" s="15" customFormat="1" ht="12" customHeight="1" x14ac:dyDescent="0.2">
      <c r="B12" s="149" t="s">
        <v>23</v>
      </c>
      <c r="C12" s="44"/>
      <c r="D12" s="44"/>
      <c r="E12" s="44"/>
      <c r="F12" s="44"/>
      <c r="G12" s="150"/>
      <c r="H12" s="7">
        <f>'P&amp;L(y)'!I41</f>
        <v>132907</v>
      </c>
      <c r="I12" s="7">
        <f>'P&amp;L(y)'!J41</f>
        <v>126288</v>
      </c>
      <c r="J12" s="7">
        <f>'P&amp;L(y)'!K41</f>
        <v>131100</v>
      </c>
      <c r="K12" s="7">
        <f>'P&amp;L(y)'!L41</f>
        <v>150573</v>
      </c>
    </row>
    <row r="13" spans="2:12" ht="12" customHeight="1" x14ac:dyDescent="0.2">
      <c r="B13" s="148" t="s">
        <v>275</v>
      </c>
      <c r="C13" s="44"/>
      <c r="D13" s="44"/>
      <c r="E13" s="44"/>
      <c r="F13" s="44"/>
      <c r="G13" s="8"/>
      <c r="H13" s="14">
        <f>'P&amp;L(y)'!I30</f>
        <v>91774</v>
      </c>
      <c r="I13" s="14">
        <f>'P&amp;L(y)'!J30</f>
        <v>73884</v>
      </c>
      <c r="J13" s="14">
        <f>'P&amp;L(y)'!K30</f>
        <v>81917</v>
      </c>
      <c r="K13" s="14">
        <f>'P&amp;L(y)'!L30</f>
        <v>85244</v>
      </c>
      <c r="L13" s="15"/>
    </row>
    <row r="14" spans="2:12" s="15" customFormat="1" ht="12" customHeight="1" x14ac:dyDescent="0.2">
      <c r="B14" s="149" t="s">
        <v>16</v>
      </c>
      <c r="C14" s="44"/>
      <c r="D14" s="44"/>
      <c r="E14" s="44"/>
      <c r="F14" s="44"/>
      <c r="G14" s="150"/>
      <c r="H14" s="7">
        <f>'P&amp;L(y)'!I37</f>
        <v>70405</v>
      </c>
      <c r="I14" s="7">
        <f>'P&amp;L(y)'!J37</f>
        <v>55287</v>
      </c>
      <c r="J14" s="7">
        <f>'P&amp;L(y)'!K37</f>
        <v>62237</v>
      </c>
      <c r="K14" s="7">
        <f>'P&amp;L(y)'!L37</f>
        <v>63336</v>
      </c>
    </row>
    <row r="15" spans="2:12" ht="12" customHeight="1" x14ac:dyDescent="0.2">
      <c r="B15" s="148" t="s">
        <v>276</v>
      </c>
      <c r="C15" s="44"/>
      <c r="D15" s="44"/>
      <c r="E15" s="44"/>
      <c r="F15" s="44"/>
      <c r="G15" s="8"/>
      <c r="H15" s="14">
        <f>'P&amp;L(y)'!I60</f>
        <v>67788</v>
      </c>
      <c r="I15" s="14">
        <f>'P&amp;L(y)'!J60</f>
        <v>53410</v>
      </c>
      <c r="J15" s="14">
        <f>'P&amp;L(y)'!K60</f>
        <v>60234</v>
      </c>
      <c r="K15" s="14">
        <f>'P&amp;L(y)'!L60</f>
        <v>62201</v>
      </c>
      <c r="L15" s="15"/>
    </row>
    <row r="16" spans="2:12" ht="12" customHeight="1" x14ac:dyDescent="0.2">
      <c r="B16" s="148" t="s">
        <v>277</v>
      </c>
      <c r="C16" s="44"/>
      <c r="D16" s="44"/>
      <c r="E16" s="44"/>
      <c r="F16" s="44"/>
      <c r="G16" s="8"/>
      <c r="H16" s="14">
        <f>'P&amp;L(y)'!I61</f>
        <v>2617</v>
      </c>
      <c r="I16" s="14">
        <f>'P&amp;L(y)'!J61</f>
        <v>1877</v>
      </c>
      <c r="J16" s="14">
        <f>'P&amp;L(y)'!K61</f>
        <v>2003</v>
      </c>
      <c r="K16" s="14">
        <f>'P&amp;L(y)'!L61</f>
        <v>1135</v>
      </c>
      <c r="L16" s="15"/>
    </row>
    <row r="17" spans="2:12" ht="12" customHeight="1" x14ac:dyDescent="0.2">
      <c r="B17" s="148" t="s">
        <v>278</v>
      </c>
      <c r="C17" s="44"/>
      <c r="D17" s="44"/>
      <c r="E17" s="44"/>
      <c r="F17" s="44"/>
      <c r="G17" s="8"/>
      <c r="H17" s="14">
        <f>'P&amp;L(y)'!I77</f>
        <v>29450307.846575346</v>
      </c>
      <c r="I17" s="14">
        <f>'P&amp;L(y)'!J77</f>
        <v>29253721.175342459</v>
      </c>
      <c r="J17" s="14">
        <f>'P&amp;L(y)'!K77</f>
        <v>29204906.961748611</v>
      </c>
      <c r="K17" s="14">
        <f>'P&amp;L(y)'!L77</f>
        <v>29178619.232876718</v>
      </c>
      <c r="L17" s="15"/>
    </row>
    <row r="18" spans="2:12" s="15" customFormat="1" ht="12" customHeight="1" x14ac:dyDescent="0.2">
      <c r="B18" s="149" t="s">
        <v>288</v>
      </c>
      <c r="C18" s="44"/>
      <c r="D18" s="44"/>
      <c r="E18" s="44"/>
      <c r="F18" s="44"/>
      <c r="G18" s="150"/>
      <c r="H18" s="151">
        <f>'P&amp;L(y)'!I43</f>
        <v>2.3017755995335984</v>
      </c>
      <c r="I18" s="151">
        <f>'P&amp;L(y)'!J43</f>
        <v>1.8257506345899857</v>
      </c>
      <c r="J18" s="151">
        <f>'P&amp;L(y)'!K43</f>
        <v>2.0624616294409708</v>
      </c>
      <c r="K18" s="151">
        <f>'P&amp;L(y)'!L43</f>
        <v>2.1317321256214772</v>
      </c>
    </row>
    <row r="19" spans="2:12" ht="12" customHeight="1" x14ac:dyDescent="0.2">
      <c r="B19" s="138"/>
      <c r="C19" s="139"/>
      <c r="D19" s="140"/>
      <c r="E19" s="140"/>
      <c r="F19" s="140"/>
      <c r="G19" s="140"/>
      <c r="H19" s="141"/>
      <c r="I19" s="140"/>
      <c r="J19" s="140"/>
      <c r="K19" s="140"/>
      <c r="L19" s="15"/>
    </row>
    <row r="20" spans="2:12" ht="12" customHeight="1" x14ac:dyDescent="0.2">
      <c r="B20" s="148" t="s">
        <v>279</v>
      </c>
      <c r="C20" s="44"/>
      <c r="D20" s="44"/>
      <c r="E20" s="44"/>
      <c r="F20" s="44"/>
      <c r="G20" s="8"/>
      <c r="H20" s="14">
        <f>CF!G43</f>
        <v>89783</v>
      </c>
      <c r="I20" s="14">
        <f>CF!K43</f>
        <v>121303</v>
      </c>
      <c r="J20" s="14">
        <f>CF!O43</f>
        <v>125021</v>
      </c>
      <c r="K20" s="14">
        <f>CF!S43</f>
        <v>31564</v>
      </c>
      <c r="L20" s="15"/>
    </row>
    <row r="21" spans="2:12" ht="12" customHeight="1" x14ac:dyDescent="0.2">
      <c r="B21" s="148" t="s">
        <v>280</v>
      </c>
      <c r="C21" s="44"/>
      <c r="D21" s="44"/>
      <c r="E21" s="44"/>
      <c r="F21" s="44"/>
      <c r="G21" s="8"/>
      <c r="H21" s="14">
        <f>CF!G63</f>
        <v>-45132</v>
      </c>
      <c r="I21" s="14">
        <f>CF!K63</f>
        <v>-52001</v>
      </c>
      <c r="J21" s="14">
        <f>CF!O63</f>
        <v>-59901</v>
      </c>
      <c r="K21" s="14">
        <f>CF!S63</f>
        <v>-66469</v>
      </c>
      <c r="L21" s="15"/>
    </row>
    <row r="22" spans="2:12" ht="12" customHeight="1" x14ac:dyDescent="0.2">
      <c r="B22" s="148" t="s">
        <v>281</v>
      </c>
      <c r="C22" s="44"/>
      <c r="D22" s="44"/>
      <c r="E22" s="44"/>
      <c r="F22" s="44"/>
      <c r="G22" s="8"/>
      <c r="H22" s="14">
        <f>CF!G76</f>
        <v>-56922</v>
      </c>
      <c r="I22" s="14">
        <f>CF!K76</f>
        <v>-64311</v>
      </c>
      <c r="J22" s="14">
        <f>CF!O76</f>
        <v>-70191</v>
      </c>
      <c r="K22" s="14">
        <f>CF!S76</f>
        <v>42486</v>
      </c>
      <c r="L22" s="15"/>
    </row>
    <row r="23" spans="2:12" s="15" customFormat="1" ht="12" customHeight="1" x14ac:dyDescent="0.2">
      <c r="B23" s="149" t="s">
        <v>282</v>
      </c>
      <c r="C23" s="44"/>
      <c r="D23" s="44"/>
      <c r="E23" s="44"/>
      <c r="F23" s="44"/>
      <c r="G23" s="150"/>
      <c r="H23" s="7">
        <f>SUM(H20:H22)</f>
        <v>-12271</v>
      </c>
      <c r="I23" s="7">
        <f t="shared" ref="I23:J23" si="0">SUM(I20:I22)</f>
        <v>4991</v>
      </c>
      <c r="J23" s="7">
        <f t="shared" si="0"/>
        <v>-5071</v>
      </c>
      <c r="K23" s="7">
        <f t="shared" ref="K23" si="1">SUM(K20:K22)</f>
        <v>7581</v>
      </c>
    </row>
    <row r="24" spans="2:12" ht="12" customHeight="1" x14ac:dyDescent="0.2">
      <c r="B24" s="138"/>
      <c r="C24" s="139"/>
      <c r="D24" s="140"/>
      <c r="E24" s="140"/>
      <c r="F24" s="140"/>
      <c r="G24" s="140"/>
      <c r="H24" s="141"/>
      <c r="I24" s="140"/>
      <c r="J24" s="140"/>
      <c r="K24" s="140"/>
      <c r="L24" s="15"/>
    </row>
    <row r="25" spans="2:12" s="15" customFormat="1" ht="12" customHeight="1" x14ac:dyDescent="0.2">
      <c r="B25" s="149" t="s">
        <v>283</v>
      </c>
      <c r="C25" s="44"/>
      <c r="D25" s="44"/>
      <c r="E25" s="44"/>
      <c r="F25" s="44"/>
      <c r="G25" s="150"/>
      <c r="H25" s="7">
        <f>SUM(H26:H27)</f>
        <v>839190</v>
      </c>
      <c r="I25" s="7">
        <f t="shared" ref="I25:J25" si="2">SUM(I26:I27)</f>
        <v>887836</v>
      </c>
      <c r="J25" s="7">
        <f t="shared" si="2"/>
        <v>874949</v>
      </c>
      <c r="K25" s="7">
        <f t="shared" ref="K25" si="3">SUM(K26:K27)</f>
        <v>999260</v>
      </c>
    </row>
    <row r="26" spans="2:12" ht="12" customHeight="1" x14ac:dyDescent="0.2">
      <c r="B26" s="148" t="s">
        <v>60</v>
      </c>
      <c r="C26" s="44"/>
      <c r="D26" s="44"/>
      <c r="E26" s="44"/>
      <c r="F26" s="44"/>
      <c r="G26" s="8"/>
      <c r="H26" s="14">
        <f>BS!U10</f>
        <v>459944</v>
      </c>
      <c r="I26" s="14">
        <f>BS!V10</f>
        <v>472363</v>
      </c>
      <c r="J26" s="14">
        <f>BS!W10</f>
        <v>496611</v>
      </c>
      <c r="K26" s="14">
        <f>BS!X10</f>
        <v>533186</v>
      </c>
      <c r="L26" s="15"/>
    </row>
    <row r="27" spans="2:12" ht="12" customHeight="1" x14ac:dyDescent="0.2">
      <c r="B27" s="148" t="s">
        <v>75</v>
      </c>
      <c r="C27" s="44"/>
      <c r="D27" s="44"/>
      <c r="E27" s="44"/>
      <c r="F27" s="44"/>
      <c r="G27" s="8"/>
      <c r="H27" s="14">
        <f>BS!U29</f>
        <v>379246</v>
      </c>
      <c r="I27" s="14">
        <f>BS!V29</f>
        <v>415473</v>
      </c>
      <c r="J27" s="14">
        <f>BS!W29</f>
        <v>378338</v>
      </c>
      <c r="K27" s="14">
        <f>BS!X29</f>
        <v>466074</v>
      </c>
      <c r="L27" s="15"/>
    </row>
    <row r="28" spans="2:12" s="15" customFormat="1" ht="12" customHeight="1" x14ac:dyDescent="0.2">
      <c r="B28" s="149" t="s">
        <v>284</v>
      </c>
      <c r="C28" s="44"/>
      <c r="D28" s="44"/>
      <c r="E28" s="44"/>
      <c r="F28" s="44"/>
      <c r="G28" s="150"/>
      <c r="H28" s="7">
        <f>BS!U51</f>
        <v>476984</v>
      </c>
      <c r="I28" s="7">
        <f>BS!V51</f>
        <v>492889</v>
      </c>
      <c r="J28" s="7">
        <f>BS!W51</f>
        <v>517574</v>
      </c>
      <c r="K28" s="7">
        <f>BS!X51</f>
        <v>551275</v>
      </c>
    </row>
    <row r="29" spans="2:12" ht="12" customHeight="1" x14ac:dyDescent="0.2">
      <c r="B29" s="148" t="s">
        <v>99</v>
      </c>
      <c r="C29" s="44"/>
      <c r="D29" s="44"/>
      <c r="E29" s="44"/>
      <c r="F29" s="44"/>
      <c r="G29" s="8"/>
      <c r="H29" s="14">
        <f>BS!U64</f>
        <v>5593</v>
      </c>
      <c r="I29" s="14">
        <f>BS!V64</f>
        <v>6700</v>
      </c>
      <c r="J29" s="14">
        <f>BS!W64</f>
        <v>7485</v>
      </c>
      <c r="K29" s="14">
        <f>BS!X64</f>
        <v>3930</v>
      </c>
      <c r="L29" s="15"/>
    </row>
    <row r="30" spans="2:12" ht="12" customHeight="1" x14ac:dyDescent="0.2">
      <c r="B30" s="148" t="s">
        <v>285</v>
      </c>
      <c r="C30" s="152"/>
      <c r="D30" s="152"/>
      <c r="E30" s="152"/>
      <c r="F30" s="152"/>
      <c r="G30" s="8"/>
      <c r="H30" s="14">
        <f>BS!U53</f>
        <v>3311</v>
      </c>
      <c r="I30" s="14">
        <f>BS!V53</f>
        <v>3286</v>
      </c>
      <c r="J30" s="14">
        <f>BS!W53</f>
        <v>3281</v>
      </c>
      <c r="K30" s="14">
        <f>BS!X53</f>
        <v>3278</v>
      </c>
      <c r="L30" s="15"/>
    </row>
    <row r="31" spans="2:12" s="15" customFormat="1" ht="12" customHeight="1" x14ac:dyDescent="0.2">
      <c r="B31" s="149" t="s">
        <v>101</v>
      </c>
      <c r="C31" s="44"/>
      <c r="D31" s="44"/>
      <c r="E31" s="44"/>
      <c r="F31" s="44"/>
      <c r="G31" s="150"/>
      <c r="H31" s="7">
        <f>BS!U66</f>
        <v>54769</v>
      </c>
      <c r="I31" s="7">
        <f>BS!V66</f>
        <v>57597</v>
      </c>
      <c r="J31" s="7">
        <f>BS!W66</f>
        <v>46456</v>
      </c>
      <c r="K31" s="7">
        <f>BS!X66</f>
        <v>71501</v>
      </c>
    </row>
    <row r="32" spans="2:12" s="15" customFormat="1" ht="12" customHeight="1" x14ac:dyDescent="0.2">
      <c r="B32" s="149" t="s">
        <v>111</v>
      </c>
      <c r="C32" s="44"/>
      <c r="D32" s="44"/>
      <c r="E32" s="44"/>
      <c r="F32" s="44"/>
      <c r="G32" s="150"/>
      <c r="H32" s="7">
        <f>BS!U78</f>
        <v>307437</v>
      </c>
      <c r="I32" s="7">
        <f>BS!V78</f>
        <v>337350</v>
      </c>
      <c r="J32" s="7">
        <f>BS!W78</f>
        <v>310919</v>
      </c>
      <c r="K32" s="7">
        <f>BS!X78</f>
        <v>376484</v>
      </c>
    </row>
    <row r="33" spans="2:13" ht="12" customHeight="1" x14ac:dyDescent="0.2">
      <c r="B33" s="148" t="s">
        <v>278</v>
      </c>
      <c r="C33" s="44"/>
      <c r="D33" s="44"/>
      <c r="E33" s="44"/>
      <c r="F33" s="44"/>
      <c r="G33" s="8"/>
      <c r="H33" s="14">
        <f>H17</f>
        <v>29450307.846575346</v>
      </c>
      <c r="I33" s="14">
        <f t="shared" ref="I33:J33" si="4">I17</f>
        <v>29253721.175342459</v>
      </c>
      <c r="J33" s="14">
        <f t="shared" si="4"/>
        <v>29204906.961748611</v>
      </c>
      <c r="K33" s="14">
        <f t="shared" ref="K33" si="5">K17</f>
        <v>29178619.232876718</v>
      </c>
      <c r="L33" s="15"/>
    </row>
    <row r="34" spans="2:13" s="15" customFormat="1" ht="12" customHeight="1" x14ac:dyDescent="0.2">
      <c r="B34" s="149" t="s">
        <v>286</v>
      </c>
      <c r="C34" s="44"/>
      <c r="D34" s="44"/>
      <c r="E34" s="44"/>
      <c r="F34" s="44"/>
      <c r="G34" s="150"/>
      <c r="H34" s="151">
        <f>H28*1000/H33</f>
        <v>16.196231376761872</v>
      </c>
      <c r="I34" s="151">
        <f t="shared" ref="I34:J34" si="6">I28*1000/I33</f>
        <v>16.848762488905141</v>
      </c>
      <c r="J34" s="151">
        <f t="shared" si="6"/>
        <v>17.72215883713984</v>
      </c>
      <c r="K34" s="151">
        <f t="shared" ref="K34" si="7">K28*1000/K33</f>
        <v>18.89311470156396</v>
      </c>
    </row>
    <row r="35" spans="2:13" ht="12" customHeight="1" x14ac:dyDescent="0.2">
      <c r="B35" s="3"/>
    </row>
    <row r="36" spans="2:13" ht="12" customHeight="1" x14ac:dyDescent="0.2">
      <c r="I36" s="111"/>
      <c r="J36" s="111"/>
      <c r="K36" s="111"/>
    </row>
    <row r="37" spans="2:13" ht="12" customHeight="1" x14ac:dyDescent="0.2">
      <c r="M37" s="3" t="s">
        <v>298</v>
      </c>
    </row>
  </sheetData>
  <mergeCells count="2">
    <mergeCell ref="B8:B9"/>
    <mergeCell ref="H8:K8"/>
  </mergeCells>
  <pageMargins left="0.78740157480314965" right="0.78740157480314965" top="0.78740157480314965" bottom="1.1811023622047245" header="0.51181102362204722" footer="0.98425196850393704"/>
  <pageSetup paperSize="9" scale="81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7C776-9512-499D-A244-0A78166A6453}">
  <sheetPr>
    <tabColor rgb="FFC00000"/>
    <pageSetUpPr fitToPage="1"/>
  </sheetPr>
  <dimension ref="B1:AP77"/>
  <sheetViews>
    <sheetView showGridLines="0" zoomScaleNormal="100" zoomScaleSheetLayoutView="100" workbookViewId="0">
      <pane xSplit="3" ySplit="8" topLeftCell="H33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R52" sqref="R52"/>
    </sheetView>
  </sheetViews>
  <sheetFormatPr defaultColWidth="9.140625" defaultRowHeight="12" customHeight="1" outlineLevelRow="1" x14ac:dyDescent="0.2"/>
  <cols>
    <col min="1" max="1" width="1.140625" style="3" customWidth="1"/>
    <col min="2" max="2" width="1.7109375" style="3" customWidth="1"/>
    <col min="3" max="3" width="56.140625" style="16" customWidth="1"/>
    <col min="4" max="6" width="10.7109375" style="3" hidden="1" customWidth="1"/>
    <col min="7" max="7" width="8" style="3" hidden="1" customWidth="1"/>
    <col min="8" max="19" width="9.28515625" style="3" customWidth="1"/>
    <col min="20" max="20" width="5.5703125" style="3" customWidth="1"/>
    <col min="21" max="16384" width="9.140625" style="3"/>
  </cols>
  <sheetData>
    <row r="1" spans="2:20" s="1" customFormat="1" ht="12" customHeight="1" x14ac:dyDescent="0.2">
      <c r="C1" s="2"/>
    </row>
    <row r="2" spans="2:20" s="1" customFormat="1" ht="12" customHeight="1" x14ac:dyDescent="0.2">
      <c r="C2" s="2"/>
    </row>
    <row r="3" spans="2:20" s="1" customFormat="1" ht="12" customHeight="1" x14ac:dyDescent="0.2">
      <c r="C3" s="2"/>
    </row>
    <row r="4" spans="2:20" s="1" customFormat="1" ht="12" customHeight="1" x14ac:dyDescent="0.2">
      <c r="C4" s="2"/>
    </row>
    <row r="5" spans="2:20" s="1" customFormat="1" ht="12" customHeight="1" x14ac:dyDescent="0.2">
      <c r="C5" s="2"/>
    </row>
    <row r="6" spans="2:20" s="99" customFormat="1" ht="12" customHeight="1" x14ac:dyDescent="0.2">
      <c r="B6" s="97" t="s">
        <v>269</v>
      </c>
      <c r="C6" s="98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</row>
    <row r="7" spans="2:20" ht="12" customHeight="1" x14ac:dyDescent="0.2">
      <c r="B7" s="181" t="s">
        <v>59</v>
      </c>
      <c r="C7" s="182"/>
      <c r="D7" s="17"/>
      <c r="E7" s="17"/>
      <c r="F7" s="17"/>
      <c r="G7" s="17"/>
      <c r="H7" s="17"/>
      <c r="I7" s="17"/>
      <c r="J7" s="17"/>
      <c r="K7" s="17"/>
      <c r="L7" s="17"/>
      <c r="M7" s="17" t="s">
        <v>122</v>
      </c>
      <c r="N7" s="17"/>
      <c r="O7" s="17"/>
      <c r="P7" s="17"/>
      <c r="Q7" s="17"/>
      <c r="R7" s="17"/>
      <c r="S7" s="25"/>
    </row>
    <row r="8" spans="2:20" ht="12" customHeight="1" x14ac:dyDescent="0.2">
      <c r="B8" s="183"/>
      <c r="C8" s="184"/>
      <c r="D8" s="4" t="s">
        <v>51</v>
      </c>
      <c r="E8" s="4" t="s">
        <v>52</v>
      </c>
      <c r="F8" s="4" t="s">
        <v>53</v>
      </c>
      <c r="G8" s="4" t="s">
        <v>54</v>
      </c>
      <c r="H8" s="4" t="s">
        <v>235</v>
      </c>
      <c r="I8" s="4" t="s">
        <v>236</v>
      </c>
      <c r="J8" s="4" t="s">
        <v>237</v>
      </c>
      <c r="K8" s="4" t="s">
        <v>238</v>
      </c>
      <c r="L8" s="4" t="s">
        <v>239</v>
      </c>
      <c r="M8" s="4" t="s">
        <v>240</v>
      </c>
      <c r="N8" s="4" t="s">
        <v>241</v>
      </c>
      <c r="O8" s="4" t="s">
        <v>242</v>
      </c>
      <c r="P8" s="4" t="s">
        <v>243</v>
      </c>
      <c r="Q8" s="4" t="s">
        <v>244</v>
      </c>
      <c r="R8" s="4" t="s">
        <v>245</v>
      </c>
      <c r="S8" s="4" t="s">
        <v>246</v>
      </c>
    </row>
    <row r="9" spans="2:20" ht="12" customHeight="1" x14ac:dyDescent="0.2">
      <c r="B9" s="185" t="s">
        <v>26</v>
      </c>
      <c r="C9" s="186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26"/>
      <c r="T9" s="6"/>
    </row>
    <row r="10" spans="2:20" ht="12" customHeight="1" x14ac:dyDescent="0.2">
      <c r="B10" s="187" t="s">
        <v>0</v>
      </c>
      <c r="C10" s="187"/>
      <c r="D10" s="44"/>
      <c r="E10" s="44"/>
      <c r="F10" s="44"/>
      <c r="G10" s="44"/>
      <c r="H10" s="44">
        <f t="shared" ref="H10" si="0">SUM(H11:H12)</f>
        <v>182237</v>
      </c>
      <c r="I10" s="44">
        <f t="shared" ref="I10" si="1">SUM(I11:I12)</f>
        <v>202299</v>
      </c>
      <c r="J10" s="44">
        <f t="shared" ref="J10" si="2">SUM(J11:J12)</f>
        <v>202177</v>
      </c>
      <c r="K10" s="44">
        <f t="shared" ref="K10" si="3">SUM(K11:K12)</f>
        <v>241089</v>
      </c>
      <c r="L10" s="44">
        <f t="shared" ref="L10" si="4">SUM(L11:L12)</f>
        <v>212479</v>
      </c>
      <c r="M10" s="44">
        <f t="shared" ref="M10:O10" si="5">SUM(M11:M12)</f>
        <v>210782</v>
      </c>
      <c r="N10" s="44">
        <f t="shared" si="5"/>
        <v>220495</v>
      </c>
      <c r="O10" s="44">
        <f t="shared" si="5"/>
        <v>233837</v>
      </c>
      <c r="P10" s="44">
        <f>SUM(P11:P12)</f>
        <v>224536</v>
      </c>
      <c r="Q10" s="44">
        <f t="shared" ref="Q10" si="6">SUM(Q11:Q12)</f>
        <v>237408</v>
      </c>
      <c r="R10" s="44">
        <f t="shared" ref="R10" si="7">SUM(R11:R12)</f>
        <v>244126</v>
      </c>
      <c r="S10" s="44"/>
      <c r="T10" s="8"/>
    </row>
    <row r="11" spans="2:20" ht="12" customHeight="1" x14ac:dyDescent="0.2">
      <c r="B11" s="18"/>
      <c r="C11" s="19" t="s">
        <v>1</v>
      </c>
      <c r="D11" s="9"/>
      <c r="E11" s="9"/>
      <c r="F11" s="9"/>
      <c r="G11" s="9"/>
      <c r="H11" s="9">
        <v>4499</v>
      </c>
      <c r="I11" s="9">
        <v>4278</v>
      </c>
      <c r="J11" s="9">
        <v>5142</v>
      </c>
      <c r="K11" s="9">
        <v>4045</v>
      </c>
      <c r="L11" s="9">
        <v>4515</v>
      </c>
      <c r="M11" s="9">
        <v>4595</v>
      </c>
      <c r="N11" s="9">
        <v>5047</v>
      </c>
      <c r="O11" s="9">
        <v>7322</v>
      </c>
      <c r="P11" s="9">
        <v>3613</v>
      </c>
      <c r="Q11" s="9">
        <v>2863</v>
      </c>
      <c r="R11" s="10">
        <v>6018</v>
      </c>
      <c r="S11" s="10"/>
      <c r="T11" s="8"/>
    </row>
    <row r="12" spans="2:20" ht="12" customHeight="1" x14ac:dyDescent="0.2">
      <c r="B12" s="18"/>
      <c r="C12" s="19" t="s">
        <v>2</v>
      </c>
      <c r="D12" s="9"/>
      <c r="E12" s="9"/>
      <c r="F12" s="9"/>
      <c r="G12" s="9"/>
      <c r="H12" s="9">
        <v>177738</v>
      </c>
      <c r="I12" s="9">
        <v>198021</v>
      </c>
      <c r="J12" s="9">
        <v>197035</v>
      </c>
      <c r="K12" s="9">
        <v>237044</v>
      </c>
      <c r="L12" s="9">
        <v>207964</v>
      </c>
      <c r="M12" s="9">
        <v>206187</v>
      </c>
      <c r="N12" s="9">
        <v>215448</v>
      </c>
      <c r="O12" s="9">
        <v>226515</v>
      </c>
      <c r="P12" s="9">
        <v>220923</v>
      </c>
      <c r="Q12" s="9">
        <v>234545</v>
      </c>
      <c r="R12" s="10">
        <v>238108</v>
      </c>
      <c r="S12" s="10"/>
      <c r="T12" s="8"/>
    </row>
    <row r="13" spans="2:20" ht="12" customHeight="1" x14ac:dyDescent="0.2">
      <c r="B13" s="187" t="s">
        <v>33</v>
      </c>
      <c r="C13" s="187"/>
      <c r="D13" s="44"/>
      <c r="E13" s="44"/>
      <c r="F13" s="44"/>
      <c r="G13" s="44"/>
      <c r="H13" s="44">
        <f t="shared" ref="H13" si="8">SUM(H14:H15)</f>
        <v>-124522</v>
      </c>
      <c r="I13" s="44">
        <f t="shared" ref="I13" si="9">SUM(I14:I15)</f>
        <v>-136676</v>
      </c>
      <c r="J13" s="44">
        <f t="shared" ref="J13" si="10">SUM(J14:J15)</f>
        <v>-139161</v>
      </c>
      <c r="K13" s="44">
        <f t="shared" ref="K13" si="11">SUM(K14:K15)</f>
        <v>-168538</v>
      </c>
      <c r="L13" s="44">
        <f t="shared" ref="L13" si="12">SUM(L14:L15)</f>
        <v>-149282</v>
      </c>
      <c r="M13" s="44">
        <f t="shared" ref="M13:R13" si="13">SUM(M14:M15)</f>
        <v>-147923</v>
      </c>
      <c r="N13" s="44">
        <f t="shared" si="13"/>
        <v>-163962</v>
      </c>
      <c r="O13" s="44">
        <f t="shared" si="13"/>
        <v>-178664</v>
      </c>
      <c r="P13" s="44">
        <f t="shared" si="13"/>
        <v>-161553</v>
      </c>
      <c r="Q13" s="44">
        <f t="shared" si="13"/>
        <v>-175857</v>
      </c>
      <c r="R13" s="44">
        <f t="shared" si="13"/>
        <v>-184835</v>
      </c>
      <c r="S13" s="44"/>
      <c r="T13" s="8"/>
    </row>
    <row r="14" spans="2:20" ht="12" customHeight="1" x14ac:dyDescent="0.2">
      <c r="B14" s="18"/>
      <c r="C14" s="19" t="s">
        <v>1</v>
      </c>
      <c r="D14" s="9"/>
      <c r="E14" s="9"/>
      <c r="F14" s="9"/>
      <c r="G14" s="9"/>
      <c r="H14" s="9">
        <v>-2909</v>
      </c>
      <c r="I14" s="9">
        <v>-2908</v>
      </c>
      <c r="J14" s="9">
        <v>-3559</v>
      </c>
      <c r="K14" s="9">
        <v>-2530</v>
      </c>
      <c r="L14" s="9">
        <v>-3068</v>
      </c>
      <c r="M14" s="9">
        <v>-2933</v>
      </c>
      <c r="N14" s="9">
        <v>-3179</v>
      </c>
      <c r="O14" s="9">
        <v>-5010</v>
      </c>
      <c r="P14" s="9">
        <v>-2240</v>
      </c>
      <c r="Q14" s="9">
        <v>-1675</v>
      </c>
      <c r="R14" s="10">
        <v>-3938</v>
      </c>
      <c r="S14" s="10"/>
      <c r="T14" s="8"/>
    </row>
    <row r="15" spans="2:20" ht="12" customHeight="1" x14ac:dyDescent="0.2">
      <c r="B15" s="18"/>
      <c r="C15" s="19" t="s">
        <v>2</v>
      </c>
      <c r="D15" s="9"/>
      <c r="E15" s="9"/>
      <c r="F15" s="9"/>
      <c r="G15" s="9"/>
      <c r="H15" s="9">
        <v>-121613</v>
      </c>
      <c r="I15" s="9">
        <v>-133768</v>
      </c>
      <c r="J15" s="9">
        <v>-135602</v>
      </c>
      <c r="K15" s="9">
        <v>-166008</v>
      </c>
      <c r="L15" s="9">
        <v>-146214</v>
      </c>
      <c r="M15" s="9">
        <v>-144990</v>
      </c>
      <c r="N15" s="9">
        <v>-160783</v>
      </c>
      <c r="O15" s="9">
        <v>-173654</v>
      </c>
      <c r="P15" s="9">
        <v>-159313</v>
      </c>
      <c r="Q15" s="9">
        <v>-174182</v>
      </c>
      <c r="R15" s="10">
        <v>-180897</v>
      </c>
      <c r="S15" s="10"/>
      <c r="T15" s="8"/>
    </row>
    <row r="16" spans="2:20" ht="12" customHeight="1" x14ac:dyDescent="0.2">
      <c r="B16" s="187" t="s">
        <v>3</v>
      </c>
      <c r="C16" s="187"/>
      <c r="D16" s="44"/>
      <c r="E16" s="44"/>
      <c r="F16" s="44"/>
      <c r="G16" s="44"/>
      <c r="H16" s="44">
        <f t="shared" ref="H16:K16" si="14">H10+H13</f>
        <v>57715</v>
      </c>
      <c r="I16" s="44">
        <f t="shared" si="14"/>
        <v>65623</v>
      </c>
      <c r="J16" s="44">
        <f t="shared" si="14"/>
        <v>63016</v>
      </c>
      <c r="K16" s="44">
        <f t="shared" si="14"/>
        <v>72551</v>
      </c>
      <c r="L16" s="44">
        <f t="shared" ref="L16" si="15">L10+L13</f>
        <v>63197</v>
      </c>
      <c r="M16" s="44">
        <f t="shared" ref="M16:R16" si="16">M10+M13</f>
        <v>62859</v>
      </c>
      <c r="N16" s="44">
        <f t="shared" si="16"/>
        <v>56533</v>
      </c>
      <c r="O16" s="44">
        <f t="shared" si="16"/>
        <v>55173</v>
      </c>
      <c r="P16" s="44">
        <f t="shared" si="16"/>
        <v>62983</v>
      </c>
      <c r="Q16" s="44">
        <f t="shared" si="16"/>
        <v>61551</v>
      </c>
      <c r="R16" s="44">
        <f t="shared" si="16"/>
        <v>59291</v>
      </c>
      <c r="S16" s="44"/>
      <c r="T16" s="8"/>
    </row>
    <row r="17" spans="2:42" ht="12" customHeight="1" x14ac:dyDescent="0.2">
      <c r="B17" s="18"/>
      <c r="C17" s="19" t="s">
        <v>4</v>
      </c>
      <c r="D17" s="9"/>
      <c r="E17" s="9"/>
      <c r="F17" s="9"/>
      <c r="G17" s="9"/>
      <c r="H17" s="9">
        <v>-8849</v>
      </c>
      <c r="I17" s="13">
        <v>-9788</v>
      </c>
      <c r="J17" s="13">
        <v>-10160</v>
      </c>
      <c r="K17" s="9">
        <v>-13226</v>
      </c>
      <c r="L17" s="13">
        <v>-8807</v>
      </c>
      <c r="M17" s="13">
        <v>-10553</v>
      </c>
      <c r="N17" s="13">
        <v>-9354</v>
      </c>
      <c r="O17" s="9">
        <v>-11040</v>
      </c>
      <c r="P17" s="13">
        <v>-9043</v>
      </c>
      <c r="Q17" s="13">
        <v>-7880</v>
      </c>
      <c r="R17" s="13">
        <v>-7374</v>
      </c>
      <c r="S17" s="14"/>
      <c r="T17" s="8"/>
    </row>
    <row r="18" spans="2:42" ht="12" customHeight="1" x14ac:dyDescent="0.2">
      <c r="B18" s="18"/>
      <c r="C18" s="19" t="s">
        <v>5</v>
      </c>
      <c r="D18" s="9"/>
      <c r="E18" s="9"/>
      <c r="F18" s="9"/>
      <c r="G18" s="9"/>
      <c r="H18" s="9">
        <v>-28555</v>
      </c>
      <c r="I18" s="13">
        <v>-30345</v>
      </c>
      <c r="J18" s="13">
        <v>-28906</v>
      </c>
      <c r="K18" s="9">
        <v>-32206</v>
      </c>
      <c r="L18" s="13">
        <v>-32223</v>
      </c>
      <c r="M18" s="13">
        <v>-31631</v>
      </c>
      <c r="N18" s="13">
        <v>-29543</v>
      </c>
      <c r="O18" s="9">
        <v>-30077</v>
      </c>
      <c r="P18" s="13">
        <v>-32401</v>
      </c>
      <c r="Q18" s="13">
        <v>-30826</v>
      </c>
      <c r="R18" s="13">
        <v>-30623</v>
      </c>
      <c r="S18" s="14"/>
      <c r="T18" s="8"/>
    </row>
    <row r="19" spans="2:42" ht="12" customHeight="1" x14ac:dyDescent="0.2">
      <c r="B19" s="187" t="s">
        <v>6</v>
      </c>
      <c r="C19" s="187"/>
      <c r="D19" s="44"/>
      <c r="E19" s="44"/>
      <c r="F19" s="44"/>
      <c r="G19" s="44"/>
      <c r="H19" s="44">
        <f t="shared" ref="H19" si="17">SUM(H16:H18)</f>
        <v>20311</v>
      </c>
      <c r="I19" s="44">
        <f t="shared" ref="I19" si="18">SUM(I16:I18)</f>
        <v>25490</v>
      </c>
      <c r="J19" s="44">
        <f t="shared" ref="J19" si="19">SUM(J16:J18)</f>
        <v>23950</v>
      </c>
      <c r="K19" s="44">
        <f t="shared" ref="K19" si="20">SUM(K16:K18)</f>
        <v>27119</v>
      </c>
      <c r="L19" s="44">
        <f t="shared" ref="L19" si="21">SUM(L16:L18)</f>
        <v>22167</v>
      </c>
      <c r="M19" s="44">
        <f t="shared" ref="M19:R19" si="22">SUM(M16:M18)</f>
        <v>20675</v>
      </c>
      <c r="N19" s="44">
        <f t="shared" si="22"/>
        <v>17636</v>
      </c>
      <c r="O19" s="44">
        <f t="shared" si="22"/>
        <v>14056</v>
      </c>
      <c r="P19" s="44">
        <f t="shared" si="22"/>
        <v>21539</v>
      </c>
      <c r="Q19" s="44">
        <f t="shared" si="22"/>
        <v>22845</v>
      </c>
      <c r="R19" s="44">
        <f t="shared" si="22"/>
        <v>21294</v>
      </c>
      <c r="S19" s="44"/>
      <c r="T19" s="8"/>
    </row>
    <row r="20" spans="2:42" ht="12" customHeight="1" x14ac:dyDescent="0.2">
      <c r="B20" s="187" t="s">
        <v>34</v>
      </c>
      <c r="C20" s="187"/>
      <c r="D20" s="44"/>
      <c r="E20" s="44"/>
      <c r="F20" s="44"/>
      <c r="G20" s="44"/>
      <c r="H20" s="44">
        <f t="shared" ref="H20" si="23">SUM(H21:H22)</f>
        <v>-1001</v>
      </c>
      <c r="I20" s="44">
        <f t="shared" ref="I20" si="24">SUM(I21:I22)</f>
        <v>-575</v>
      </c>
      <c r="J20" s="44">
        <f t="shared" ref="J20" si="25">SUM(J21:J22)</f>
        <v>-788.95153201599896</v>
      </c>
      <c r="K20" s="44">
        <f t="shared" ref="K20" si="26">SUM(K21:K22)</f>
        <v>-4722.048467984001</v>
      </c>
      <c r="L20" s="44">
        <f t="shared" ref="L20" si="27">SUM(L21:L22)</f>
        <v>-783</v>
      </c>
      <c r="M20" s="44">
        <f t="shared" ref="M20:R20" si="28">SUM(M21:M22)</f>
        <v>-1064</v>
      </c>
      <c r="N20" s="44">
        <f t="shared" si="28"/>
        <v>-3020.0043700000015</v>
      </c>
      <c r="O20" s="44">
        <f t="shared" si="28"/>
        <v>5357.0043700000015</v>
      </c>
      <c r="P20" s="44">
        <f t="shared" si="28"/>
        <v>-1149</v>
      </c>
      <c r="Q20" s="44">
        <f t="shared" si="28"/>
        <v>-3225</v>
      </c>
      <c r="R20" s="44">
        <f t="shared" si="28"/>
        <v>-1989.1961699999993</v>
      </c>
      <c r="S20" s="44"/>
      <c r="T20" s="8"/>
    </row>
    <row r="21" spans="2:42" ht="12" customHeight="1" x14ac:dyDescent="0.2">
      <c r="B21" s="20"/>
      <c r="C21" s="21" t="s">
        <v>35</v>
      </c>
      <c r="D21" s="9"/>
      <c r="E21" s="9"/>
      <c r="F21" s="9"/>
      <c r="G21" s="9"/>
      <c r="H21" s="9">
        <v>188</v>
      </c>
      <c r="I21" s="14">
        <v>2702</v>
      </c>
      <c r="J21" s="14">
        <v>3369.9099879840014</v>
      </c>
      <c r="K21" s="9">
        <v>383.09001201599858</v>
      </c>
      <c r="L21" s="14">
        <v>411</v>
      </c>
      <c r="M21" s="14">
        <v>1427</v>
      </c>
      <c r="N21" s="14">
        <v>2940.3926500000007</v>
      </c>
      <c r="O21" s="9">
        <v>4330.6073499999993</v>
      </c>
      <c r="P21" s="14">
        <v>2218</v>
      </c>
      <c r="Q21" s="14">
        <v>866</v>
      </c>
      <c r="R21" s="14">
        <v>7595.6926300000014</v>
      </c>
      <c r="S21" s="7"/>
      <c r="T21" s="8"/>
    </row>
    <row r="22" spans="2:42" ht="12" customHeight="1" x14ac:dyDescent="0.2">
      <c r="B22" s="20"/>
      <c r="C22" s="21" t="s">
        <v>36</v>
      </c>
      <c r="D22" s="9"/>
      <c r="E22" s="9"/>
      <c r="F22" s="9"/>
      <c r="G22" s="9"/>
      <c r="H22" s="9">
        <v>-1189</v>
      </c>
      <c r="I22" s="14">
        <v>-3277</v>
      </c>
      <c r="J22" s="14">
        <v>-4158.8615200000004</v>
      </c>
      <c r="K22" s="9">
        <v>-5105.1384799999996</v>
      </c>
      <c r="L22" s="14">
        <v>-1194</v>
      </c>
      <c r="M22" s="14">
        <v>-2491</v>
      </c>
      <c r="N22" s="14">
        <v>-5960.3970200000022</v>
      </c>
      <c r="O22" s="9">
        <v>1026.3970200000022</v>
      </c>
      <c r="P22" s="14">
        <v>-3367</v>
      </c>
      <c r="Q22" s="14">
        <v>-4091</v>
      </c>
      <c r="R22" s="14">
        <v>-9584.8888000000006</v>
      </c>
      <c r="S22" s="7"/>
      <c r="T22" s="8"/>
    </row>
    <row r="23" spans="2:42" s="15" customFormat="1" ht="12" customHeight="1" x14ac:dyDescent="0.2">
      <c r="B23" s="188" t="s">
        <v>7</v>
      </c>
      <c r="C23" s="189"/>
      <c r="D23" s="9"/>
      <c r="E23" s="9"/>
      <c r="F23" s="9"/>
      <c r="G23" s="9"/>
      <c r="H23" s="9">
        <v>157</v>
      </c>
      <c r="I23" s="7">
        <v>296</v>
      </c>
      <c r="J23" s="7">
        <v>480</v>
      </c>
      <c r="K23" s="9">
        <v>409</v>
      </c>
      <c r="L23" s="7">
        <v>235</v>
      </c>
      <c r="M23" s="7">
        <v>328</v>
      </c>
      <c r="N23" s="7">
        <v>603</v>
      </c>
      <c r="O23" s="9">
        <v>227</v>
      </c>
      <c r="P23" s="7">
        <v>-6</v>
      </c>
      <c r="Q23" s="7">
        <v>406</v>
      </c>
      <c r="R23" s="7">
        <v>459</v>
      </c>
      <c r="S23" s="7"/>
      <c r="T23" s="8"/>
      <c r="U23" s="3"/>
      <c r="V23" s="3"/>
      <c r="W23" s="3"/>
      <c r="X23" s="3"/>
      <c r="Y23" s="3"/>
      <c r="Z23" s="3"/>
      <c r="AA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</row>
    <row r="24" spans="2:42" s="15" customFormat="1" ht="12" customHeight="1" x14ac:dyDescent="0.2">
      <c r="B24" s="188" t="s">
        <v>27</v>
      </c>
      <c r="C24" s="189"/>
      <c r="D24" s="9"/>
      <c r="E24" s="9"/>
      <c r="F24" s="9"/>
      <c r="G24" s="9"/>
      <c r="H24" s="9">
        <v>0</v>
      </c>
      <c r="I24" s="7">
        <v>0</v>
      </c>
      <c r="J24" s="7">
        <v>0</v>
      </c>
      <c r="K24" s="9">
        <v>0</v>
      </c>
      <c r="L24" s="7">
        <v>0</v>
      </c>
      <c r="M24" s="7">
        <v>0</v>
      </c>
      <c r="N24" s="7">
        <v>0</v>
      </c>
      <c r="O24" s="9">
        <v>0</v>
      </c>
      <c r="P24" s="7">
        <v>0</v>
      </c>
      <c r="Q24" s="7">
        <v>0</v>
      </c>
      <c r="R24" s="7">
        <v>0</v>
      </c>
      <c r="S24" s="7"/>
      <c r="T24" s="8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</row>
    <row r="25" spans="2:42" ht="12" customHeight="1" x14ac:dyDescent="0.2">
      <c r="B25" s="187" t="s">
        <v>8</v>
      </c>
      <c r="C25" s="187"/>
      <c r="D25" s="44"/>
      <c r="E25" s="44"/>
      <c r="F25" s="44"/>
      <c r="G25" s="44"/>
      <c r="H25" s="44">
        <f t="shared" ref="H25:R25" si="29">SUM(H19:H20)+H23+H24</f>
        <v>19467</v>
      </c>
      <c r="I25" s="44">
        <f t="shared" si="29"/>
        <v>25211</v>
      </c>
      <c r="J25" s="44">
        <f t="shared" si="29"/>
        <v>23641.048467984001</v>
      </c>
      <c r="K25" s="44">
        <f t="shared" si="29"/>
        <v>22805.951532015999</v>
      </c>
      <c r="L25" s="44">
        <f t="shared" si="29"/>
        <v>21619</v>
      </c>
      <c r="M25" s="44">
        <f t="shared" si="29"/>
        <v>19939</v>
      </c>
      <c r="N25" s="44">
        <f t="shared" si="29"/>
        <v>15218.995629999998</v>
      </c>
      <c r="O25" s="44">
        <f t="shared" si="29"/>
        <v>19640.004370000002</v>
      </c>
      <c r="P25" s="44">
        <f t="shared" si="29"/>
        <v>20384</v>
      </c>
      <c r="Q25" s="44">
        <f t="shared" si="29"/>
        <v>20026</v>
      </c>
      <c r="R25" s="44">
        <f t="shared" si="29"/>
        <v>19763.803830000001</v>
      </c>
      <c r="S25" s="44"/>
      <c r="T25" s="8"/>
    </row>
    <row r="26" spans="2:42" ht="12" customHeight="1" x14ac:dyDescent="0.2">
      <c r="B26" s="187" t="s">
        <v>37</v>
      </c>
      <c r="C26" s="187"/>
      <c r="D26" s="44"/>
      <c r="E26" s="44"/>
      <c r="F26" s="44"/>
      <c r="G26" s="44"/>
      <c r="H26" s="44">
        <f t="shared" ref="H26" si="30">SUM(H27:H28)</f>
        <v>56</v>
      </c>
      <c r="I26" s="44">
        <f t="shared" ref="I26" si="31">SUM(I27:I28)</f>
        <v>1357</v>
      </c>
      <c r="J26" s="44">
        <f t="shared" ref="J26" si="32">SUM(J27:J28)</f>
        <v>-910.61839000000236</v>
      </c>
      <c r="K26" s="44">
        <f t="shared" ref="K26" si="33">SUM(K27:K28)</f>
        <v>146.61839000000236</v>
      </c>
      <c r="L26" s="44">
        <f t="shared" ref="L26" si="34">SUM(L27:L28)</f>
        <v>208</v>
      </c>
      <c r="M26" s="44">
        <f t="shared" ref="M26:R26" si="35">SUM(M27:M28)</f>
        <v>-597</v>
      </c>
      <c r="N26" s="44">
        <f t="shared" si="35"/>
        <v>-422.33050000000821</v>
      </c>
      <c r="O26" s="44">
        <f t="shared" si="35"/>
        <v>-1721.6694999999918</v>
      </c>
      <c r="P26" s="44">
        <f t="shared" si="35"/>
        <v>3791</v>
      </c>
      <c r="Q26" s="44">
        <f t="shared" si="35"/>
        <v>-353</v>
      </c>
      <c r="R26" s="44">
        <f t="shared" si="35"/>
        <v>1021.1312677904007</v>
      </c>
      <c r="S26" s="44"/>
      <c r="T26" s="8"/>
    </row>
    <row r="27" spans="2:42" ht="12" customHeight="1" x14ac:dyDescent="0.2">
      <c r="B27" s="20"/>
      <c r="C27" s="21" t="s">
        <v>35</v>
      </c>
      <c r="D27" s="9"/>
      <c r="E27" s="9"/>
      <c r="F27" s="9"/>
      <c r="G27" s="9"/>
      <c r="H27" s="9">
        <v>1135</v>
      </c>
      <c r="I27" s="14">
        <v>2810</v>
      </c>
      <c r="J27" s="14">
        <v>809.66481999999723</v>
      </c>
      <c r="K27" s="9">
        <v>2422.3351800000028</v>
      </c>
      <c r="L27" s="14">
        <v>2243</v>
      </c>
      <c r="M27" s="14">
        <v>1496</v>
      </c>
      <c r="N27" s="14">
        <v>1841.0028999999913</v>
      </c>
      <c r="O27" s="9">
        <v>796.99710000000869</v>
      </c>
      <c r="P27" s="14">
        <v>5463</v>
      </c>
      <c r="Q27" s="14">
        <v>157</v>
      </c>
      <c r="R27" s="14">
        <v>2062.5449777904005</v>
      </c>
      <c r="S27" s="7"/>
      <c r="T27" s="8"/>
      <c r="W27" s="15"/>
      <c r="AA27" s="15"/>
    </row>
    <row r="28" spans="2:42" ht="12" customHeight="1" x14ac:dyDescent="0.2">
      <c r="B28" s="20"/>
      <c r="C28" s="21" t="s">
        <v>36</v>
      </c>
      <c r="D28" s="9"/>
      <c r="E28" s="9"/>
      <c r="F28" s="9"/>
      <c r="G28" s="9"/>
      <c r="H28" s="9">
        <v>-1079</v>
      </c>
      <c r="I28" s="13">
        <v>-1453</v>
      </c>
      <c r="J28" s="13">
        <v>-1720.2832099999996</v>
      </c>
      <c r="K28" s="9">
        <v>-2275.7167900000004</v>
      </c>
      <c r="L28" s="13">
        <v>-2035</v>
      </c>
      <c r="M28" s="13">
        <v>-2093</v>
      </c>
      <c r="N28" s="13">
        <v>-2263.3333999999995</v>
      </c>
      <c r="O28" s="9">
        <v>-2518.6666000000005</v>
      </c>
      <c r="P28" s="13">
        <v>-1672</v>
      </c>
      <c r="Q28" s="13">
        <v>-510</v>
      </c>
      <c r="R28" s="13">
        <v>-1041.4137099999998</v>
      </c>
      <c r="S28" s="7"/>
      <c r="T28" s="8"/>
      <c r="AB28" s="15"/>
      <c r="AC28" s="15"/>
      <c r="AD28" s="15"/>
      <c r="AE28" s="15"/>
    </row>
    <row r="29" spans="2:42" s="15" customFormat="1" ht="12" customHeight="1" x14ac:dyDescent="0.2">
      <c r="B29" s="188" t="s">
        <v>28</v>
      </c>
      <c r="C29" s="189"/>
      <c r="D29" s="9"/>
      <c r="E29" s="9"/>
      <c r="F29" s="9"/>
      <c r="G29" s="9"/>
      <c r="H29" s="9">
        <v>0</v>
      </c>
      <c r="I29" s="7">
        <v>0</v>
      </c>
      <c r="J29" s="7">
        <v>0</v>
      </c>
      <c r="K29" s="9">
        <v>0</v>
      </c>
      <c r="L29" s="7">
        <v>0</v>
      </c>
      <c r="M29" s="7">
        <v>0</v>
      </c>
      <c r="N29" s="7">
        <v>0</v>
      </c>
      <c r="O29" s="9">
        <v>0</v>
      </c>
      <c r="P29" s="7">
        <v>0</v>
      </c>
      <c r="Q29" s="7">
        <v>0</v>
      </c>
      <c r="R29" s="7">
        <v>0</v>
      </c>
      <c r="S29" s="7"/>
      <c r="T29" s="8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</row>
    <row r="30" spans="2:42" ht="12" customHeight="1" x14ac:dyDescent="0.2">
      <c r="B30" s="187" t="s">
        <v>9</v>
      </c>
      <c r="C30" s="187"/>
      <c r="D30" s="44"/>
      <c r="E30" s="44"/>
      <c r="F30" s="44"/>
      <c r="G30" s="44"/>
      <c r="H30" s="44" cm="1">
        <f t="array" ref="H30">SUM(H25:H26+H29)</f>
        <v>19523</v>
      </c>
      <c r="I30" s="44" cm="1">
        <f t="array" ref="I30">SUM(I25:I26+I29)</f>
        <v>26568</v>
      </c>
      <c r="J30" s="44" cm="1">
        <f t="array" ref="J30">SUM(J25:J26+J29)</f>
        <v>22730.430077983998</v>
      </c>
      <c r="K30" s="44" cm="1">
        <f t="array" ref="K30">SUM(K25:K26+K29)</f>
        <v>22952.569922016002</v>
      </c>
      <c r="L30" s="44" cm="1">
        <f t="array" ref="L30">SUM(L25:L26+L29)</f>
        <v>21827</v>
      </c>
      <c r="M30" s="44" cm="1">
        <f t="array" ref="M30">SUM(M25:M26+M29)</f>
        <v>19342</v>
      </c>
      <c r="N30" s="44" cm="1">
        <f t="array" ref="N30">SUM(N25:N26+N29)</f>
        <v>14796.66512999999</v>
      </c>
      <c r="O30" s="44" cm="1">
        <f t="array" ref="O30">SUM(O25:O26+O29)</f>
        <v>17918.33487000001</v>
      </c>
      <c r="P30" s="44" cm="1">
        <f t="array" ref="P30">SUM(P25:P26+P29)</f>
        <v>24175</v>
      </c>
      <c r="Q30" s="44" cm="1">
        <f t="array" ref="Q30">SUM(Q25:Q26+Q29)</f>
        <v>19673</v>
      </c>
      <c r="R30" s="44" cm="1">
        <f t="array" ref="R30">SUM(R25:R26+R29)</f>
        <v>20784.935097790403</v>
      </c>
      <c r="S30" s="44"/>
      <c r="T30" s="8"/>
    </row>
    <row r="31" spans="2:42" ht="12" customHeight="1" x14ac:dyDescent="0.2">
      <c r="B31" s="18"/>
      <c r="C31" s="19" t="s">
        <v>10</v>
      </c>
      <c r="D31" s="9"/>
      <c r="E31" s="9"/>
      <c r="F31" s="9"/>
      <c r="G31" s="9"/>
      <c r="H31" s="9">
        <v>-4431</v>
      </c>
      <c r="I31" s="13">
        <v>-5081</v>
      </c>
      <c r="J31" s="13">
        <v>-3784</v>
      </c>
      <c r="K31" s="9">
        <v>-3662</v>
      </c>
      <c r="L31" s="13">
        <v>-5048</v>
      </c>
      <c r="M31" s="13">
        <v>-3534</v>
      </c>
      <c r="N31" s="13">
        <v>-4206</v>
      </c>
      <c r="O31" s="9">
        <v>-2871</v>
      </c>
      <c r="P31" s="13">
        <v>-6113</v>
      </c>
      <c r="Q31" s="13">
        <v>-3866</v>
      </c>
      <c r="R31" s="14">
        <v>-1893</v>
      </c>
      <c r="S31" s="14"/>
      <c r="T31" s="8"/>
    </row>
    <row r="32" spans="2:42" ht="12" customHeight="1" x14ac:dyDescent="0.2">
      <c r="B32" s="18"/>
      <c r="C32" s="19" t="s">
        <v>11</v>
      </c>
      <c r="D32" s="9"/>
      <c r="E32" s="9"/>
      <c r="F32" s="9"/>
      <c r="G32" s="9"/>
      <c r="H32" s="9">
        <v>-488</v>
      </c>
      <c r="I32" s="9">
        <v>-67</v>
      </c>
      <c r="J32" s="9">
        <v>-1701</v>
      </c>
      <c r="K32" s="9">
        <v>-3324</v>
      </c>
      <c r="L32" s="9">
        <v>-1352</v>
      </c>
      <c r="M32" s="9">
        <v>-409</v>
      </c>
      <c r="N32" s="9">
        <v>119</v>
      </c>
      <c r="O32" s="9">
        <v>-1296</v>
      </c>
      <c r="P32" s="9">
        <v>-725</v>
      </c>
      <c r="Q32" s="9">
        <v>-725</v>
      </c>
      <c r="R32" s="9">
        <v>-1983</v>
      </c>
      <c r="S32" s="10"/>
      <c r="T32" s="8"/>
      <c r="AB32" s="15"/>
      <c r="AC32" s="15"/>
      <c r="AD32" s="15"/>
      <c r="AE32" s="15"/>
    </row>
    <row r="33" spans="2:42" ht="12" customHeight="1" x14ac:dyDescent="0.2">
      <c r="B33" s="187" t="s">
        <v>12</v>
      </c>
      <c r="C33" s="187"/>
      <c r="D33" s="44"/>
      <c r="E33" s="44"/>
      <c r="F33" s="44"/>
      <c r="G33" s="44"/>
      <c r="H33" s="44">
        <f t="shared" ref="H33" si="36">SUM(H30:H32)</f>
        <v>14604</v>
      </c>
      <c r="I33" s="44">
        <f t="shared" ref="I33" si="37">SUM(I30:I32)</f>
        <v>21420</v>
      </c>
      <c r="J33" s="44">
        <f t="shared" ref="J33" si="38">SUM(J30:J32)</f>
        <v>17245.430077983998</v>
      </c>
      <c r="K33" s="44">
        <f t="shared" ref="K33" si="39">SUM(K30:K32)</f>
        <v>15966.569922016002</v>
      </c>
      <c r="L33" s="44">
        <f t="shared" ref="L33" si="40">SUM(L30:L32)</f>
        <v>15427</v>
      </c>
      <c r="M33" s="44">
        <f t="shared" ref="M33:R33" si="41">SUM(M30:M32)</f>
        <v>15399</v>
      </c>
      <c r="N33" s="44">
        <f t="shared" si="41"/>
        <v>10709.66512999999</v>
      </c>
      <c r="O33" s="44">
        <f t="shared" si="41"/>
        <v>13751.33487000001</v>
      </c>
      <c r="P33" s="44">
        <f t="shared" si="41"/>
        <v>17337</v>
      </c>
      <c r="Q33" s="44">
        <f t="shared" si="41"/>
        <v>15082</v>
      </c>
      <c r="R33" s="44">
        <f t="shared" si="41"/>
        <v>16908.935097790403</v>
      </c>
      <c r="S33" s="44"/>
      <c r="T33" s="8"/>
    </row>
    <row r="34" spans="2:42" s="15" customFormat="1" ht="12" customHeight="1" x14ac:dyDescent="0.2">
      <c r="B34" s="190" t="s">
        <v>13</v>
      </c>
      <c r="C34" s="191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7"/>
      <c r="T34" s="8"/>
      <c r="U34" s="3"/>
      <c r="V34" s="3"/>
      <c r="W34" s="3"/>
      <c r="X34" s="3"/>
      <c r="Y34" s="3"/>
      <c r="Z34" s="3"/>
      <c r="AA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</row>
    <row r="35" spans="2:42" ht="12" customHeight="1" x14ac:dyDescent="0.2">
      <c r="B35" s="18"/>
      <c r="C35" s="19" t="s">
        <v>14</v>
      </c>
      <c r="D35" s="9"/>
      <c r="E35" s="9"/>
      <c r="F35" s="9"/>
      <c r="G35" s="9"/>
      <c r="H35" s="9">
        <v>540</v>
      </c>
      <c r="I35" s="14">
        <v>123</v>
      </c>
      <c r="J35" s="14">
        <v>386</v>
      </c>
      <c r="K35" s="9">
        <v>120</v>
      </c>
      <c r="L35" s="14">
        <v>0</v>
      </c>
      <c r="M35" s="14">
        <v>0</v>
      </c>
      <c r="N35" s="14">
        <v>0</v>
      </c>
      <c r="O35" s="9">
        <v>0</v>
      </c>
      <c r="P35" s="14">
        <v>0</v>
      </c>
      <c r="Q35" s="14">
        <v>0</v>
      </c>
      <c r="R35" s="14">
        <v>0</v>
      </c>
      <c r="S35" s="14"/>
      <c r="T35" s="8"/>
    </row>
    <row r="36" spans="2:42" s="15" customFormat="1" ht="12" customHeight="1" x14ac:dyDescent="0.2">
      <c r="B36" s="190" t="s">
        <v>15</v>
      </c>
      <c r="C36" s="191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8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</row>
    <row r="37" spans="2:42" ht="12" customHeight="1" x14ac:dyDescent="0.2">
      <c r="B37" s="187" t="s">
        <v>16</v>
      </c>
      <c r="C37" s="187"/>
      <c r="D37" s="44"/>
      <c r="E37" s="44"/>
      <c r="F37" s="44"/>
      <c r="G37" s="44"/>
      <c r="H37" s="44">
        <f t="shared" ref="H37:K37" si="42">H33+H35</f>
        <v>15144</v>
      </c>
      <c r="I37" s="44">
        <f t="shared" si="42"/>
        <v>21543</v>
      </c>
      <c r="J37" s="44">
        <f t="shared" si="42"/>
        <v>17631.430077983998</v>
      </c>
      <c r="K37" s="44">
        <f t="shared" si="42"/>
        <v>16086.569922016002</v>
      </c>
      <c r="L37" s="44">
        <f t="shared" ref="L37" si="43">L33+L35</f>
        <v>15427</v>
      </c>
      <c r="M37" s="44">
        <f>M33+M35</f>
        <v>15399</v>
      </c>
      <c r="N37" s="44">
        <f>N33+N35</f>
        <v>10709.66512999999</v>
      </c>
      <c r="O37" s="44">
        <f>O33+O35</f>
        <v>13751.33487000001</v>
      </c>
      <c r="P37" s="44">
        <f>P33+P35</f>
        <v>17337</v>
      </c>
      <c r="Q37" s="44">
        <f t="shared" ref="Q37:R37" si="44">Q33+Q35</f>
        <v>15082</v>
      </c>
      <c r="R37" s="44">
        <f t="shared" si="44"/>
        <v>16908.935097790403</v>
      </c>
      <c r="S37" s="44"/>
      <c r="T37" s="8"/>
    </row>
    <row r="38" spans="2:42" s="15" customFormat="1" ht="12" customHeight="1" x14ac:dyDescent="0.2">
      <c r="B38" s="190"/>
      <c r="C38" s="191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7"/>
      <c r="T38" s="8"/>
      <c r="U38" s="3"/>
      <c r="V38" s="3"/>
      <c r="W38" s="3"/>
      <c r="X38" s="3"/>
      <c r="Y38" s="3"/>
      <c r="Z38" s="3"/>
      <c r="AA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</row>
    <row r="39" spans="2:42" ht="12" customHeight="1" x14ac:dyDescent="0.2">
      <c r="B39" s="187" t="s">
        <v>8</v>
      </c>
      <c r="C39" s="187"/>
      <c r="D39" s="44"/>
      <c r="E39" s="44"/>
      <c r="F39" s="44"/>
      <c r="G39" s="44"/>
      <c r="H39" s="44">
        <f t="shared" ref="H39:R39" si="45">H25</f>
        <v>19467</v>
      </c>
      <c r="I39" s="44">
        <f t="shared" si="45"/>
        <v>25211</v>
      </c>
      <c r="J39" s="44">
        <f t="shared" si="45"/>
        <v>23641.048467984001</v>
      </c>
      <c r="K39" s="44">
        <f t="shared" si="45"/>
        <v>22805.951532015999</v>
      </c>
      <c r="L39" s="44">
        <f t="shared" si="45"/>
        <v>21619</v>
      </c>
      <c r="M39" s="44">
        <f t="shared" si="45"/>
        <v>19939</v>
      </c>
      <c r="N39" s="44">
        <f t="shared" si="45"/>
        <v>15218.995629999998</v>
      </c>
      <c r="O39" s="44">
        <f t="shared" si="45"/>
        <v>19640.004370000002</v>
      </c>
      <c r="P39" s="44">
        <f t="shared" si="45"/>
        <v>20384</v>
      </c>
      <c r="Q39" s="44">
        <f t="shared" si="45"/>
        <v>20026</v>
      </c>
      <c r="R39" s="44">
        <f t="shared" si="45"/>
        <v>19763.803830000001</v>
      </c>
      <c r="S39" s="44"/>
      <c r="T39" s="8"/>
    </row>
    <row r="40" spans="2:42" ht="12" customHeight="1" x14ac:dyDescent="0.2">
      <c r="B40" s="11"/>
      <c r="C40" s="12" t="s">
        <v>22</v>
      </c>
      <c r="D40" s="9"/>
      <c r="E40" s="9"/>
      <c r="F40" s="9"/>
      <c r="G40" s="9"/>
      <c r="H40" s="9">
        <v>10037</v>
      </c>
      <c r="I40" s="14">
        <v>10339</v>
      </c>
      <c r="J40" s="14">
        <v>10560</v>
      </c>
      <c r="K40" s="9">
        <v>10846</v>
      </c>
      <c r="L40" s="14">
        <v>11696</v>
      </c>
      <c r="M40" s="14">
        <v>12975</v>
      </c>
      <c r="N40" s="14">
        <v>12361</v>
      </c>
      <c r="O40" s="9">
        <v>12839</v>
      </c>
      <c r="P40" s="14">
        <v>12789</v>
      </c>
      <c r="Q40" s="14">
        <v>12981</v>
      </c>
      <c r="R40" s="14">
        <v>13719</v>
      </c>
      <c r="S40" s="14"/>
      <c r="T40" s="8"/>
    </row>
    <row r="41" spans="2:42" ht="12" customHeight="1" x14ac:dyDescent="0.2">
      <c r="B41" s="187" t="s">
        <v>23</v>
      </c>
      <c r="C41" s="187"/>
      <c r="D41" s="44"/>
      <c r="E41" s="44"/>
      <c r="F41" s="44"/>
      <c r="G41" s="44"/>
      <c r="H41" s="44">
        <f t="shared" ref="H41:R41" si="46">SUM(H39:H40)</f>
        <v>29504</v>
      </c>
      <c r="I41" s="44">
        <f t="shared" si="46"/>
        <v>35550</v>
      </c>
      <c r="J41" s="44">
        <f t="shared" si="46"/>
        <v>34201.048467984001</v>
      </c>
      <c r="K41" s="44">
        <f t="shared" si="46"/>
        <v>33651.951532015999</v>
      </c>
      <c r="L41" s="44">
        <f t="shared" si="46"/>
        <v>33315</v>
      </c>
      <c r="M41" s="44">
        <f t="shared" si="46"/>
        <v>32914</v>
      </c>
      <c r="N41" s="44">
        <f t="shared" si="46"/>
        <v>27579.995629999998</v>
      </c>
      <c r="O41" s="44">
        <f t="shared" si="46"/>
        <v>32479.004370000002</v>
      </c>
      <c r="P41" s="44">
        <f t="shared" si="46"/>
        <v>33173</v>
      </c>
      <c r="Q41" s="44">
        <f t="shared" si="46"/>
        <v>33007</v>
      </c>
      <c r="R41" s="44">
        <f t="shared" si="46"/>
        <v>33482.803830000004</v>
      </c>
      <c r="S41" s="44"/>
      <c r="T41" s="8"/>
    </row>
    <row r="42" spans="2:42" ht="12" customHeight="1" x14ac:dyDescent="0.2">
      <c r="B42" s="11" t="s">
        <v>230</v>
      </c>
      <c r="C42" s="12"/>
      <c r="D42" s="9"/>
      <c r="E42" s="9"/>
      <c r="F42" s="9"/>
      <c r="G42" s="9"/>
      <c r="H42" s="105">
        <f t="shared" ref="H42:R42" si="47">H41/H10</f>
        <v>0.16189906550261474</v>
      </c>
      <c r="I42" s="105">
        <f t="shared" si="47"/>
        <v>0.1757299838358074</v>
      </c>
      <c r="J42" s="105">
        <f t="shared" si="47"/>
        <v>0.16916389336068891</v>
      </c>
      <c r="K42" s="105">
        <f t="shared" si="47"/>
        <v>0.13958310637157231</v>
      </c>
      <c r="L42" s="105">
        <f t="shared" si="47"/>
        <v>0.15679196532363199</v>
      </c>
      <c r="M42" s="105">
        <f t="shared" si="47"/>
        <v>0.15615185357383457</v>
      </c>
      <c r="N42" s="105">
        <f t="shared" si="47"/>
        <v>0.12508218159141929</v>
      </c>
      <c r="O42" s="105">
        <f t="shared" si="47"/>
        <v>0.13889591625790615</v>
      </c>
      <c r="P42" s="105">
        <f t="shared" si="47"/>
        <v>0.14774022873837603</v>
      </c>
      <c r="Q42" s="105">
        <f t="shared" si="47"/>
        <v>0.13903069820730557</v>
      </c>
      <c r="R42" s="105">
        <f t="shared" si="47"/>
        <v>0.13715378054774996</v>
      </c>
      <c r="S42" s="106"/>
      <c r="T42" s="8"/>
    </row>
    <row r="43" spans="2:42" ht="12" customHeight="1" x14ac:dyDescent="0.2">
      <c r="B43" s="11"/>
      <c r="C43" s="12" t="s">
        <v>256</v>
      </c>
      <c r="D43" s="9"/>
      <c r="E43" s="9"/>
      <c r="F43" s="9"/>
      <c r="G43" s="9"/>
      <c r="H43" s="110">
        <f t="shared" ref="H43:R43" si="48">H60/H77*1000</f>
        <v>0.48629092702931653</v>
      </c>
      <c r="I43" s="110">
        <f t="shared" si="48"/>
        <v>0.68601449996984343</v>
      </c>
      <c r="J43" s="110">
        <f t="shared" si="48"/>
        <v>0.57858864395856124</v>
      </c>
      <c r="K43" s="110">
        <f t="shared" si="48"/>
        <v>0.5507330578642875</v>
      </c>
      <c r="L43" s="110">
        <f t="shared" si="48"/>
        <v>0.51925168977184322</v>
      </c>
      <c r="M43" s="110">
        <f t="shared" si="48"/>
        <v>0.50184838239823248</v>
      </c>
      <c r="N43" s="110">
        <f t="shared" si="48"/>
        <v>0.49119321996232679</v>
      </c>
      <c r="O43" s="110">
        <f t="shared" si="48"/>
        <v>0.31318925552976346</v>
      </c>
      <c r="P43" s="110">
        <f t="shared" si="48"/>
        <v>0.57807041665457937</v>
      </c>
      <c r="Q43" s="110">
        <f t="shared" si="48"/>
        <v>0.49119492186761721</v>
      </c>
      <c r="R43" s="110">
        <f t="shared" si="48"/>
        <v>0.5710843290881007</v>
      </c>
      <c r="S43" s="110"/>
      <c r="T43" s="8"/>
    </row>
    <row r="44" spans="2:42" ht="12" customHeight="1" x14ac:dyDescent="0.2">
      <c r="H44" s="109" t="s">
        <v>257</v>
      </c>
      <c r="T44" s="8"/>
    </row>
    <row r="45" spans="2:42" s="15" customFormat="1" ht="12" customHeight="1" x14ac:dyDescent="0.2">
      <c r="B45" s="192"/>
      <c r="C45" s="192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8"/>
      <c r="U45" s="3"/>
      <c r="V45" s="3"/>
      <c r="W45" s="3"/>
      <c r="X45" s="3"/>
      <c r="Y45" s="3"/>
      <c r="Z45" s="3"/>
      <c r="AA45" s="3"/>
      <c r="AF45" s="3"/>
    </row>
    <row r="46" spans="2:42" s="15" customFormat="1" ht="12" customHeight="1" x14ac:dyDescent="0.2">
      <c r="B46" s="127"/>
      <c r="C46" s="127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8"/>
      <c r="U46" s="3"/>
      <c r="V46" s="3"/>
      <c r="W46" s="3"/>
      <c r="X46" s="3"/>
      <c r="Y46" s="3"/>
      <c r="Z46" s="3"/>
      <c r="AA46" s="3"/>
      <c r="AF46" s="3"/>
    </row>
    <row r="47" spans="2:42" ht="12" customHeight="1" x14ac:dyDescent="0.2">
      <c r="B47" s="190" t="s">
        <v>38</v>
      </c>
      <c r="C47" s="191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8"/>
    </row>
    <row r="48" spans="2:42" ht="12" customHeight="1" x14ac:dyDescent="0.2">
      <c r="B48" s="187" t="s">
        <v>39</v>
      </c>
      <c r="C48" s="187"/>
      <c r="D48" s="44"/>
      <c r="E48" s="44"/>
      <c r="F48" s="44"/>
      <c r="G48" s="44"/>
      <c r="H48" s="44">
        <f t="shared" ref="H48:K48" si="49">SUM(H50:H53)+SUM(H55:H57)</f>
        <v>-108</v>
      </c>
      <c r="I48" s="44">
        <f t="shared" si="49"/>
        <v>-1587</v>
      </c>
      <c r="J48" s="44">
        <f t="shared" si="49"/>
        <v>1592</v>
      </c>
      <c r="K48" s="44">
        <f t="shared" si="49"/>
        <v>-1563</v>
      </c>
      <c r="L48" s="44">
        <f>SUM(L50:L53)+SUM(L55:L57)</f>
        <v>1393</v>
      </c>
      <c r="M48" s="44">
        <f t="shared" ref="M48:R48" si="50">SUM(M50:M53)+SUM(M55:M57)</f>
        <v>-375</v>
      </c>
      <c r="N48" s="44">
        <f t="shared" si="50"/>
        <v>-197</v>
      </c>
      <c r="O48" s="44">
        <f t="shared" si="50"/>
        <v>2668</v>
      </c>
      <c r="P48" s="44">
        <f t="shared" si="50"/>
        <v>-4822</v>
      </c>
      <c r="Q48" s="44">
        <f t="shared" si="50"/>
        <v>572</v>
      </c>
      <c r="R48" s="44">
        <f t="shared" si="50"/>
        <v>-1886</v>
      </c>
      <c r="S48" s="44"/>
      <c r="T48" s="8"/>
    </row>
    <row r="49" spans="2:20" ht="12" customHeight="1" x14ac:dyDescent="0.2">
      <c r="B49" s="22"/>
      <c r="C49" s="23" t="s">
        <v>40</v>
      </c>
      <c r="D49" s="9"/>
      <c r="E49" s="9"/>
      <c r="F49" s="9"/>
      <c r="G49" s="9"/>
      <c r="H49" s="9"/>
      <c r="I49" s="14"/>
      <c r="J49" s="14"/>
      <c r="K49" s="14"/>
      <c r="L49" s="14"/>
      <c r="M49" s="14"/>
      <c r="N49" s="14"/>
      <c r="O49" s="14"/>
      <c r="P49" s="14"/>
      <c r="Q49" s="14">
        <v>0</v>
      </c>
      <c r="R49" s="14"/>
      <c r="S49" s="14"/>
      <c r="T49" s="8"/>
    </row>
    <row r="50" spans="2:20" ht="12" customHeight="1" x14ac:dyDescent="0.2">
      <c r="B50" s="18"/>
      <c r="C50" s="19" t="s">
        <v>17</v>
      </c>
      <c r="D50" s="9"/>
      <c r="E50" s="9"/>
      <c r="F50" s="9"/>
      <c r="G50" s="9"/>
      <c r="H50" s="9">
        <v>870</v>
      </c>
      <c r="I50" s="14">
        <v>2290</v>
      </c>
      <c r="J50" s="14">
        <v>-1435</v>
      </c>
      <c r="K50" s="9">
        <v>-121</v>
      </c>
      <c r="L50" s="14">
        <v>1344</v>
      </c>
      <c r="M50" s="14">
        <v>-1712</v>
      </c>
      <c r="N50" s="14">
        <v>2513</v>
      </c>
      <c r="O50" s="9">
        <v>-603</v>
      </c>
      <c r="P50" s="14">
        <v>2945</v>
      </c>
      <c r="Q50" s="14">
        <v>-2301</v>
      </c>
      <c r="R50" s="14">
        <v>-131</v>
      </c>
      <c r="S50" s="14"/>
      <c r="T50" s="8"/>
    </row>
    <row r="51" spans="2:20" ht="12" customHeight="1" x14ac:dyDescent="0.2">
      <c r="B51" s="18"/>
      <c r="C51" s="19" t="s">
        <v>29</v>
      </c>
      <c r="D51" s="9"/>
      <c r="E51" s="9"/>
      <c r="F51" s="9"/>
      <c r="G51" s="9"/>
      <c r="H51" s="9">
        <v>0</v>
      </c>
      <c r="I51" s="14">
        <v>0</v>
      </c>
      <c r="J51" s="14">
        <v>0</v>
      </c>
      <c r="K51" s="9">
        <v>0</v>
      </c>
      <c r="L51" s="14">
        <v>0</v>
      </c>
      <c r="M51" s="14">
        <v>0</v>
      </c>
      <c r="N51" s="14">
        <v>0</v>
      </c>
      <c r="O51" s="9">
        <v>0</v>
      </c>
      <c r="P51" s="14">
        <v>0</v>
      </c>
      <c r="Q51" s="14">
        <v>0</v>
      </c>
      <c r="R51" s="14">
        <v>0</v>
      </c>
      <c r="S51" s="14"/>
      <c r="T51" s="8"/>
    </row>
    <row r="52" spans="2:20" ht="12" customHeight="1" x14ac:dyDescent="0.2">
      <c r="B52" s="18"/>
      <c r="C52" s="19" t="s">
        <v>18</v>
      </c>
      <c r="D52" s="9"/>
      <c r="E52" s="9"/>
      <c r="F52" s="9"/>
      <c r="G52" s="9"/>
      <c r="H52" s="9">
        <v>-978</v>
      </c>
      <c r="I52" s="14">
        <v>-3877</v>
      </c>
      <c r="J52" s="14">
        <v>3027</v>
      </c>
      <c r="K52" s="9">
        <v>-975</v>
      </c>
      <c r="L52" s="14">
        <v>49</v>
      </c>
      <c r="M52" s="14">
        <v>1337</v>
      </c>
      <c r="N52" s="14">
        <v>-2710</v>
      </c>
      <c r="O52" s="9">
        <v>3347</v>
      </c>
      <c r="P52" s="14">
        <v>-7767</v>
      </c>
      <c r="Q52" s="14">
        <v>2873</v>
      </c>
      <c r="R52" s="14">
        <v>-1755</v>
      </c>
      <c r="S52" s="14"/>
      <c r="T52" s="8"/>
    </row>
    <row r="53" spans="2:20" ht="12" customHeight="1" x14ac:dyDescent="0.2">
      <c r="B53" s="18"/>
      <c r="C53" s="19" t="s">
        <v>30</v>
      </c>
      <c r="D53" s="9"/>
      <c r="E53" s="9"/>
      <c r="F53" s="9"/>
      <c r="G53" s="9"/>
      <c r="H53" s="9">
        <v>0</v>
      </c>
      <c r="I53" s="7">
        <v>0</v>
      </c>
      <c r="J53" s="7">
        <v>0</v>
      </c>
      <c r="K53" s="9">
        <v>0</v>
      </c>
      <c r="L53" s="7"/>
      <c r="M53" s="7">
        <v>0</v>
      </c>
      <c r="N53" s="7">
        <v>0</v>
      </c>
      <c r="O53" s="9">
        <v>0</v>
      </c>
      <c r="P53" s="7"/>
      <c r="Q53" s="7">
        <v>0</v>
      </c>
      <c r="R53" s="7">
        <v>0</v>
      </c>
      <c r="S53" s="7"/>
      <c r="T53" s="8"/>
    </row>
    <row r="54" spans="2:20" ht="12" customHeight="1" x14ac:dyDescent="0.2">
      <c r="B54" s="18"/>
      <c r="C54" s="23" t="s">
        <v>41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8"/>
    </row>
    <row r="55" spans="2:20" ht="12" customHeight="1" x14ac:dyDescent="0.2">
      <c r="B55" s="18"/>
      <c r="C55" s="19" t="s">
        <v>42</v>
      </c>
      <c r="D55" s="9"/>
      <c r="E55" s="9"/>
      <c r="F55" s="9"/>
      <c r="G55" s="9"/>
      <c r="H55" s="9">
        <v>0</v>
      </c>
      <c r="I55" s="14">
        <v>0</v>
      </c>
      <c r="J55" s="14">
        <v>0</v>
      </c>
      <c r="K55" s="9">
        <v>-467</v>
      </c>
      <c r="L55" s="14">
        <v>0</v>
      </c>
      <c r="M55" s="14">
        <v>0</v>
      </c>
      <c r="N55" s="14">
        <v>0</v>
      </c>
      <c r="O55" s="9">
        <v>-76</v>
      </c>
      <c r="P55" s="14">
        <v>0</v>
      </c>
      <c r="Q55" s="14">
        <v>0</v>
      </c>
      <c r="R55" s="14">
        <v>0</v>
      </c>
      <c r="S55" s="14"/>
      <c r="T55" s="8"/>
    </row>
    <row r="56" spans="2:20" ht="12" customHeight="1" x14ac:dyDescent="0.2">
      <c r="B56" s="18"/>
      <c r="C56" s="19" t="s">
        <v>31</v>
      </c>
      <c r="D56" s="9"/>
      <c r="E56" s="9"/>
      <c r="F56" s="9"/>
      <c r="G56" s="9"/>
      <c r="H56" s="9">
        <v>0</v>
      </c>
      <c r="I56" s="14">
        <v>0</v>
      </c>
      <c r="J56" s="14">
        <v>0</v>
      </c>
      <c r="K56" s="9">
        <v>0</v>
      </c>
      <c r="L56" s="14">
        <v>0</v>
      </c>
      <c r="M56" s="14">
        <v>0</v>
      </c>
      <c r="N56" s="14">
        <v>0</v>
      </c>
      <c r="O56" s="9">
        <v>0</v>
      </c>
      <c r="P56" s="14">
        <v>0</v>
      </c>
      <c r="Q56" s="14">
        <v>0</v>
      </c>
      <c r="R56" s="14">
        <v>0</v>
      </c>
      <c r="S56" s="14"/>
      <c r="T56" s="8"/>
    </row>
    <row r="57" spans="2:20" ht="12" customHeight="1" x14ac:dyDescent="0.2">
      <c r="B57" s="18"/>
      <c r="C57" s="19" t="s">
        <v>32</v>
      </c>
      <c r="D57" s="9"/>
      <c r="E57" s="9"/>
      <c r="F57" s="9"/>
      <c r="G57" s="9"/>
      <c r="H57" s="9">
        <v>0</v>
      </c>
      <c r="I57" s="7">
        <v>0</v>
      </c>
      <c r="J57" s="7">
        <v>0</v>
      </c>
      <c r="K57" s="9">
        <v>0</v>
      </c>
      <c r="L57" s="7">
        <v>0</v>
      </c>
      <c r="M57" s="7">
        <v>0</v>
      </c>
      <c r="N57" s="7">
        <v>0</v>
      </c>
      <c r="O57" s="9">
        <v>0</v>
      </c>
      <c r="P57" s="7">
        <v>0</v>
      </c>
      <c r="Q57" s="7">
        <v>0</v>
      </c>
      <c r="R57" s="7">
        <v>0</v>
      </c>
      <c r="S57" s="7"/>
      <c r="T57" s="8"/>
    </row>
    <row r="58" spans="2:20" ht="12" customHeight="1" x14ac:dyDescent="0.2">
      <c r="B58" s="187" t="s">
        <v>19</v>
      </c>
      <c r="C58" s="187"/>
      <c r="D58" s="44"/>
      <c r="E58" s="44"/>
      <c r="F58" s="44"/>
      <c r="G58" s="44"/>
      <c r="H58" s="44">
        <f t="shared" ref="H58:R58" si="51">H37+H48</f>
        <v>15036</v>
      </c>
      <c r="I58" s="44">
        <f t="shared" si="51"/>
        <v>19956</v>
      </c>
      <c r="J58" s="44">
        <f t="shared" si="51"/>
        <v>19223.430077983998</v>
      </c>
      <c r="K58" s="44">
        <f t="shared" si="51"/>
        <v>14523.569922016002</v>
      </c>
      <c r="L58" s="44">
        <f t="shared" si="51"/>
        <v>16820</v>
      </c>
      <c r="M58" s="44">
        <f t="shared" si="51"/>
        <v>15024</v>
      </c>
      <c r="N58" s="44">
        <f t="shared" si="51"/>
        <v>10512.66512999999</v>
      </c>
      <c r="O58" s="44">
        <f t="shared" si="51"/>
        <v>16419.33487000001</v>
      </c>
      <c r="P58" s="44">
        <f t="shared" si="51"/>
        <v>12515</v>
      </c>
      <c r="Q58" s="44">
        <f t="shared" si="51"/>
        <v>15654</v>
      </c>
      <c r="R58" s="44">
        <f t="shared" si="51"/>
        <v>15022.935097790403</v>
      </c>
      <c r="S58" s="44"/>
      <c r="T58" s="8"/>
    </row>
    <row r="59" spans="2:20" ht="12" customHeight="1" x14ac:dyDescent="0.2">
      <c r="B59" s="187" t="s">
        <v>20</v>
      </c>
      <c r="C59" s="187"/>
      <c r="D59" s="44"/>
      <c r="E59" s="44"/>
      <c r="F59" s="44"/>
      <c r="G59" s="44"/>
      <c r="H59" s="44">
        <f t="shared" ref="H59" si="52">SUM(H60:H61)</f>
        <v>15144</v>
      </c>
      <c r="I59" s="44">
        <f t="shared" ref="I59" si="53">SUM(I60:I61)</f>
        <v>21543</v>
      </c>
      <c r="J59" s="44">
        <f t="shared" ref="J59" si="54">SUM(J60:J61)</f>
        <v>17632</v>
      </c>
      <c r="K59" s="44">
        <f t="shared" ref="K59" si="55">SUM(K60:K61)</f>
        <v>16086</v>
      </c>
      <c r="L59" s="44">
        <f t="shared" ref="L59" si="56">SUM(L60:L61)</f>
        <v>15427</v>
      </c>
      <c r="M59" s="44">
        <f t="shared" ref="M59" si="57">SUM(M60:M61)</f>
        <v>15399</v>
      </c>
      <c r="N59" s="44">
        <f t="shared" ref="N59:O59" si="58">SUM(N60:N61)</f>
        <v>14534</v>
      </c>
      <c r="O59" s="44">
        <f t="shared" si="58"/>
        <v>9927</v>
      </c>
      <c r="P59" s="44">
        <f>SUM(P60:P61)</f>
        <v>17337</v>
      </c>
      <c r="Q59" s="44">
        <f t="shared" ref="Q59:R59" si="59">SUM(Q60:Q61)</f>
        <v>15082</v>
      </c>
      <c r="R59" s="44">
        <f t="shared" si="59"/>
        <v>16909</v>
      </c>
      <c r="S59" s="44"/>
      <c r="T59" s="8"/>
    </row>
    <row r="60" spans="2:20" ht="12" customHeight="1" x14ac:dyDescent="0.2">
      <c r="B60" s="18"/>
      <c r="C60" s="19" t="s">
        <v>43</v>
      </c>
      <c r="D60" s="9"/>
      <c r="E60" s="9"/>
      <c r="F60" s="9"/>
      <c r="G60" s="9"/>
      <c r="H60" s="9">
        <v>14349</v>
      </c>
      <c r="I60" s="14">
        <v>20241</v>
      </c>
      <c r="J60" s="14">
        <v>17031</v>
      </c>
      <c r="K60" s="9">
        <v>16167</v>
      </c>
      <c r="L60" s="14">
        <v>15210</v>
      </c>
      <c r="M60" s="14">
        <v>14685</v>
      </c>
      <c r="N60" s="14">
        <v>14364</v>
      </c>
      <c r="O60" s="9">
        <v>9151</v>
      </c>
      <c r="P60" s="14">
        <v>16886</v>
      </c>
      <c r="Q60" s="14">
        <v>14346</v>
      </c>
      <c r="R60" s="14">
        <v>16679</v>
      </c>
      <c r="S60" s="14"/>
      <c r="T60" s="8"/>
    </row>
    <row r="61" spans="2:20" ht="12" customHeight="1" x14ac:dyDescent="0.2">
      <c r="B61" s="18"/>
      <c r="C61" s="19" t="s">
        <v>44</v>
      </c>
      <c r="D61" s="9"/>
      <c r="E61" s="9"/>
      <c r="F61" s="9"/>
      <c r="G61" s="9"/>
      <c r="H61" s="9">
        <v>795</v>
      </c>
      <c r="I61" s="14">
        <v>1302</v>
      </c>
      <c r="J61" s="14">
        <v>601</v>
      </c>
      <c r="K61" s="9">
        <v>-81</v>
      </c>
      <c r="L61" s="14">
        <v>217</v>
      </c>
      <c r="M61" s="14">
        <v>714</v>
      </c>
      <c r="N61" s="14">
        <v>170</v>
      </c>
      <c r="O61" s="9">
        <v>776</v>
      </c>
      <c r="P61" s="14">
        <v>451</v>
      </c>
      <c r="Q61" s="14">
        <v>736</v>
      </c>
      <c r="R61" s="14">
        <v>230</v>
      </c>
      <c r="S61" s="14"/>
      <c r="T61" s="8"/>
    </row>
    <row r="62" spans="2:20" ht="12" customHeight="1" x14ac:dyDescent="0.2">
      <c r="B62" s="187" t="s">
        <v>21</v>
      </c>
      <c r="C62" s="187"/>
      <c r="D62" s="44"/>
      <c r="E62" s="44"/>
      <c r="F62" s="44"/>
      <c r="G62" s="44"/>
      <c r="H62" s="44">
        <f t="shared" ref="H62" si="60">SUM(H63:H64)</f>
        <v>15036</v>
      </c>
      <c r="I62" s="44">
        <f t="shared" ref="I62" si="61">SUM(I63:I64)</f>
        <v>19956</v>
      </c>
      <c r="J62" s="44">
        <f t="shared" ref="J62" si="62">SUM(J63:J64)</f>
        <v>19224</v>
      </c>
      <c r="K62" s="44">
        <f t="shared" ref="K62" si="63">SUM(K63:K64)</f>
        <v>14523</v>
      </c>
      <c r="L62" s="44">
        <f t="shared" ref="L62" si="64">SUM(L63:L64)</f>
        <v>16820</v>
      </c>
      <c r="M62" s="44">
        <f t="shared" ref="M62" si="65">SUM(M63:M64)</f>
        <v>15024</v>
      </c>
      <c r="N62" s="44">
        <f t="shared" ref="N62:O62" si="66">SUM(N63:N64)</f>
        <v>14337</v>
      </c>
      <c r="O62" s="44">
        <f t="shared" si="66"/>
        <v>12595</v>
      </c>
      <c r="P62" s="44">
        <f>SUM(P63:P64)</f>
        <v>12515</v>
      </c>
      <c r="Q62" s="44">
        <f t="shared" ref="Q62:R62" si="67">SUM(Q63:Q64)</f>
        <v>15654</v>
      </c>
      <c r="R62" s="44">
        <f t="shared" si="67"/>
        <v>15023</v>
      </c>
      <c r="S62" s="44"/>
      <c r="T62" s="8"/>
    </row>
    <row r="63" spans="2:20" ht="12" customHeight="1" x14ac:dyDescent="0.2">
      <c r="B63" s="18"/>
      <c r="C63" s="19" t="s">
        <v>43</v>
      </c>
      <c r="D63" s="9"/>
      <c r="E63" s="9"/>
      <c r="F63" s="9"/>
      <c r="G63" s="9"/>
      <c r="H63" s="9">
        <v>14214</v>
      </c>
      <c r="I63" s="14">
        <v>18639</v>
      </c>
      <c r="J63" s="14">
        <v>18642</v>
      </c>
      <c r="K63" s="9">
        <v>14595</v>
      </c>
      <c r="L63" s="14">
        <v>16609</v>
      </c>
      <c r="M63" s="14">
        <v>14306</v>
      </c>
      <c r="N63" s="14">
        <v>14135</v>
      </c>
      <c r="O63" s="9">
        <v>11882</v>
      </c>
      <c r="P63" s="14">
        <v>12064</v>
      </c>
      <c r="Q63" s="14">
        <v>14918</v>
      </c>
      <c r="R63" s="14">
        <v>14793</v>
      </c>
      <c r="S63" s="14"/>
      <c r="T63" s="8"/>
    </row>
    <row r="64" spans="2:20" ht="12" customHeight="1" x14ac:dyDescent="0.2">
      <c r="B64" s="18"/>
      <c r="C64" s="19" t="s">
        <v>44</v>
      </c>
      <c r="D64" s="9"/>
      <c r="E64" s="9"/>
      <c r="F64" s="9"/>
      <c r="G64" s="9"/>
      <c r="H64" s="9">
        <v>822</v>
      </c>
      <c r="I64" s="14">
        <v>1317</v>
      </c>
      <c r="J64" s="14">
        <v>582</v>
      </c>
      <c r="K64" s="9">
        <v>-72</v>
      </c>
      <c r="L64" s="14">
        <v>211</v>
      </c>
      <c r="M64" s="14">
        <v>718</v>
      </c>
      <c r="N64" s="14">
        <v>202</v>
      </c>
      <c r="O64" s="9">
        <v>713</v>
      </c>
      <c r="P64" s="14">
        <v>451</v>
      </c>
      <c r="Q64" s="14">
        <v>736</v>
      </c>
      <c r="R64" s="14">
        <v>230</v>
      </c>
      <c r="S64" s="14"/>
      <c r="T64" s="8"/>
    </row>
    <row r="65" spans="2:20" ht="12" customHeight="1" x14ac:dyDescent="0.2">
      <c r="B65" s="1"/>
      <c r="C65" s="2"/>
      <c r="T65" s="8"/>
    </row>
    <row r="66" spans="2:20" ht="12" customHeight="1" x14ac:dyDescent="0.2">
      <c r="B66" s="1"/>
      <c r="C66" s="2"/>
      <c r="T66" s="8"/>
    </row>
    <row r="67" spans="2:20" ht="12" customHeight="1" x14ac:dyDescent="0.2">
      <c r="C67" s="3"/>
      <c r="T67" s="8"/>
    </row>
    <row r="68" spans="2:20" ht="12" customHeight="1" x14ac:dyDescent="0.2">
      <c r="C68" s="3"/>
      <c r="T68" s="8"/>
    </row>
    <row r="69" spans="2:20" ht="12" customHeight="1" x14ac:dyDescent="0.2">
      <c r="C69" s="3"/>
      <c r="T69" s="8"/>
    </row>
    <row r="70" spans="2:20" ht="12" customHeight="1" x14ac:dyDescent="0.2">
      <c r="C70" s="3"/>
      <c r="T70" s="107"/>
    </row>
    <row r="71" spans="2:20" ht="12" customHeight="1" x14ac:dyDescent="0.2">
      <c r="C71" s="3"/>
      <c r="T71" s="8"/>
    </row>
    <row r="72" spans="2:20" ht="12" customHeight="1" x14ac:dyDescent="0.2">
      <c r="C72" s="3"/>
    </row>
    <row r="74" spans="2:20" ht="12" customHeight="1" outlineLevel="1" x14ac:dyDescent="0.2">
      <c r="C74" s="115" t="s">
        <v>272</v>
      </c>
      <c r="H74" s="3">
        <v>29507028</v>
      </c>
      <c r="I74" s="3">
        <v>29496428</v>
      </c>
      <c r="J74" s="3">
        <v>29482284.838827834</v>
      </c>
      <c r="K74" s="3">
        <v>29450307.846575346</v>
      </c>
      <c r="L74" s="3">
        <v>29419021.635164827</v>
      </c>
      <c r="M74" s="3">
        <v>29392824</v>
      </c>
      <c r="N74" s="3">
        <v>29279552.992163006</v>
      </c>
      <c r="O74" s="3">
        <v>29253721.175342459</v>
      </c>
      <c r="P74" s="3">
        <v>29210974.15384616</v>
      </c>
      <c r="Q74" s="3">
        <v>29208651.07692308</v>
      </c>
      <c r="R74" s="3">
        <v>29207708.656934306</v>
      </c>
    </row>
    <row r="75" spans="2:20" s="111" customFormat="1" ht="12" customHeight="1" outlineLevel="1" x14ac:dyDescent="0.2">
      <c r="C75" s="116" t="s">
        <v>267</v>
      </c>
      <c r="H75" s="111">
        <f>H60/H74*1000</f>
        <v>0.48629092702931653</v>
      </c>
      <c r="I75" s="111">
        <f>(H60+I60)/I74*1000</f>
        <v>1.1726843670698026</v>
      </c>
      <c r="J75" s="111">
        <f>(H60+I60+J60)/J74*1000</f>
        <v>1.7509158561556168</v>
      </c>
      <c r="K75" s="111">
        <f>(H60+I60+J60+K60)/K74*1000</f>
        <v>2.3017755995335984</v>
      </c>
      <c r="L75" s="111">
        <f>L60/L74*1000</f>
        <v>0.51701243462900714</v>
      </c>
      <c r="M75" s="111">
        <f>(L60+M60)/M74*1000</f>
        <v>1.0170849864579192</v>
      </c>
      <c r="N75" s="111">
        <f>(L60+M60+N60)/N74*1000</f>
        <v>1.5116009459518185</v>
      </c>
      <c r="O75" s="111">
        <f>(L60+M60+N60+O60)/O74*1000</f>
        <v>1.8257506345899857</v>
      </c>
      <c r="P75" s="111">
        <f>P60/P74*1000</f>
        <v>0.57807041665457937</v>
      </c>
      <c r="Q75" s="111">
        <f>(P60+Q60)/Q74*1000</f>
        <v>1.069272248066105</v>
      </c>
      <c r="R75" s="111">
        <f>(P60+Q60+R60)/R74*1000</f>
        <v>1.6403546256486397</v>
      </c>
    </row>
    <row r="76" spans="2:20" ht="12" customHeight="1" outlineLevel="1" x14ac:dyDescent="0.2">
      <c r="J76" s="107"/>
    </row>
    <row r="77" spans="2:20" ht="12" customHeight="1" outlineLevel="1" x14ac:dyDescent="0.2">
      <c r="C77" s="115" t="s">
        <v>273</v>
      </c>
      <c r="H77" s="3">
        <v>29507028</v>
      </c>
      <c r="I77" s="3">
        <v>29505207.252747249</v>
      </c>
      <c r="J77" s="3">
        <v>29435420.445652172</v>
      </c>
      <c r="K77" s="3">
        <v>29355419.597826093</v>
      </c>
      <c r="L77" s="3">
        <v>29292153.111111112</v>
      </c>
      <c r="M77" s="3">
        <v>29261825.91208791</v>
      </c>
      <c r="N77" s="3">
        <v>29243074.652173907</v>
      </c>
      <c r="O77" s="3">
        <v>29218754.597826071</v>
      </c>
      <c r="P77" s="3">
        <v>29210974.15384616</v>
      </c>
      <c r="Q77" s="3">
        <v>29206328</v>
      </c>
      <c r="R77" s="3">
        <v>29205844.304347821</v>
      </c>
    </row>
  </sheetData>
  <mergeCells count="26">
    <mergeCell ref="B30:C30"/>
    <mergeCell ref="B48:C48"/>
    <mergeCell ref="B47:C47"/>
    <mergeCell ref="B58:C58"/>
    <mergeCell ref="B59:C59"/>
    <mergeCell ref="B33:C33"/>
    <mergeCell ref="B34:C34"/>
    <mergeCell ref="B36:C36"/>
    <mergeCell ref="B37:C37"/>
    <mergeCell ref="B62:C62"/>
    <mergeCell ref="B38:C38"/>
    <mergeCell ref="B45:C45"/>
    <mergeCell ref="B39:C39"/>
    <mergeCell ref="B41:C41"/>
    <mergeCell ref="B19:C19"/>
    <mergeCell ref="B20:C20"/>
    <mergeCell ref="B29:C29"/>
    <mergeCell ref="B23:C23"/>
    <mergeCell ref="B24:C24"/>
    <mergeCell ref="B25:C25"/>
    <mergeCell ref="B26:C26"/>
    <mergeCell ref="B7:C8"/>
    <mergeCell ref="B9:C9"/>
    <mergeCell ref="B10:C10"/>
    <mergeCell ref="B13:C13"/>
    <mergeCell ref="B16:C16"/>
  </mergeCells>
  <pageMargins left="0.78740157480314965" right="0.78740157480314965" top="0.78740157480314965" bottom="1.1811023622047245" header="0.51181102362204722" footer="0.98425196850393704"/>
  <pageSetup paperSize="9" scale="80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5AA9F-E1F9-4BA9-8237-0625500F317E}">
  <sheetPr>
    <tabColor rgb="FFC00000"/>
    <pageSetUpPr fitToPage="1"/>
  </sheetPr>
  <dimension ref="B1:AM78"/>
  <sheetViews>
    <sheetView showGridLines="0" zoomScale="98" zoomScaleNormal="98" zoomScaleSheetLayoutView="100" workbookViewId="0">
      <pane xSplit="3" ySplit="8" topLeftCell="H9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W12" sqref="W12"/>
    </sheetView>
  </sheetViews>
  <sheetFormatPr defaultColWidth="9.140625" defaultRowHeight="12" customHeight="1" outlineLevelRow="1" x14ac:dyDescent="0.2"/>
  <cols>
    <col min="1" max="1" width="1.140625" style="3" customWidth="1"/>
    <col min="2" max="2" width="1.7109375" style="3" customWidth="1"/>
    <col min="3" max="3" width="56.140625" style="16" customWidth="1"/>
    <col min="4" max="6" width="10.7109375" style="3" hidden="1" customWidth="1"/>
    <col min="7" max="7" width="8" style="3" hidden="1" customWidth="1"/>
    <col min="8" max="22" width="9.28515625" style="3" customWidth="1"/>
    <col min="23" max="16384" width="9.140625" style="3"/>
  </cols>
  <sheetData>
    <row r="1" spans="2:23" s="1" customFormat="1" ht="12" hidden="1" customHeight="1" x14ac:dyDescent="0.2">
      <c r="C1" s="2"/>
    </row>
    <row r="2" spans="2:23" s="1" customFormat="1" ht="12" hidden="1" customHeight="1" x14ac:dyDescent="0.2">
      <c r="C2" s="2"/>
    </row>
    <row r="3" spans="2:23" s="1" customFormat="1" ht="12" hidden="1" customHeight="1" x14ac:dyDescent="0.2">
      <c r="C3" s="2"/>
    </row>
    <row r="4" spans="2:23" s="1" customFormat="1" ht="12" hidden="1" customHeight="1" x14ac:dyDescent="0.2">
      <c r="C4" s="2"/>
    </row>
    <row r="5" spans="2:23" s="1" customFormat="1" ht="12" customHeight="1" x14ac:dyDescent="0.2">
      <c r="C5" s="2"/>
    </row>
    <row r="6" spans="2:23" s="99" customFormat="1" ht="12" customHeight="1" x14ac:dyDescent="0.2">
      <c r="B6" s="97" t="s">
        <v>269</v>
      </c>
      <c r="C6" s="98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7"/>
    </row>
    <row r="7" spans="2:23" ht="12" customHeight="1" x14ac:dyDescent="0.2">
      <c r="B7" s="176" t="s">
        <v>59</v>
      </c>
      <c r="C7" s="196"/>
      <c r="D7" s="146"/>
      <c r="E7" s="146"/>
      <c r="F7" s="146"/>
      <c r="G7" s="146"/>
      <c r="H7" s="146"/>
      <c r="I7" s="193" t="s">
        <v>122</v>
      </c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  <c r="W7" s="195"/>
    </row>
    <row r="8" spans="2:23" ht="12" customHeight="1" x14ac:dyDescent="0.2">
      <c r="B8" s="197"/>
      <c r="C8" s="198"/>
      <c r="D8" s="147" t="s">
        <v>51</v>
      </c>
      <c r="E8" s="147" t="s">
        <v>52</v>
      </c>
      <c r="F8" s="147" t="s">
        <v>53</v>
      </c>
      <c r="G8" s="147" t="s">
        <v>54</v>
      </c>
      <c r="H8" s="147" t="s">
        <v>235</v>
      </c>
      <c r="I8" s="147" t="s">
        <v>236</v>
      </c>
      <c r="J8" s="147" t="s">
        <v>237</v>
      </c>
      <c r="K8" s="147" t="s">
        <v>238</v>
      </c>
      <c r="L8" s="147" t="s">
        <v>239</v>
      </c>
      <c r="M8" s="147" t="s">
        <v>240</v>
      </c>
      <c r="N8" s="147" t="s">
        <v>241</v>
      </c>
      <c r="O8" s="147" t="s">
        <v>242</v>
      </c>
      <c r="P8" s="147" t="s">
        <v>243</v>
      </c>
      <c r="Q8" s="147" t="s">
        <v>244</v>
      </c>
      <c r="R8" s="147" t="s">
        <v>245</v>
      </c>
      <c r="S8" s="147" t="s">
        <v>246</v>
      </c>
      <c r="T8" s="147" t="s">
        <v>299</v>
      </c>
      <c r="U8" s="147" t="s">
        <v>301</v>
      </c>
      <c r="V8" s="147" t="s">
        <v>305</v>
      </c>
      <c r="W8" s="147" t="s">
        <v>310</v>
      </c>
    </row>
    <row r="9" spans="2:23" ht="12" customHeight="1" x14ac:dyDescent="0.2">
      <c r="B9" s="185" t="s">
        <v>26</v>
      </c>
      <c r="C9" s="186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26"/>
      <c r="W9" s="26"/>
    </row>
    <row r="10" spans="2:23" ht="12" customHeight="1" x14ac:dyDescent="0.2">
      <c r="B10" s="187" t="s">
        <v>0</v>
      </c>
      <c r="C10" s="187"/>
      <c r="D10" s="44"/>
      <c r="E10" s="44"/>
      <c r="F10" s="44"/>
      <c r="G10" s="44"/>
      <c r="H10" s="44">
        <f t="shared" ref="H10:O10" si="0">SUM(H11:H12)</f>
        <v>182237</v>
      </c>
      <c r="I10" s="44">
        <f t="shared" si="0"/>
        <v>202299</v>
      </c>
      <c r="J10" s="44">
        <f t="shared" si="0"/>
        <v>202177</v>
      </c>
      <c r="K10" s="44">
        <f t="shared" si="0"/>
        <v>241089</v>
      </c>
      <c r="L10" s="44">
        <f t="shared" si="0"/>
        <v>212479</v>
      </c>
      <c r="M10" s="44">
        <f t="shared" si="0"/>
        <v>210782</v>
      </c>
      <c r="N10" s="44">
        <f t="shared" si="0"/>
        <v>220495</v>
      </c>
      <c r="O10" s="44">
        <f t="shared" si="0"/>
        <v>233837</v>
      </c>
      <c r="P10" s="44">
        <f>SUM(P11:P12)</f>
        <v>224536</v>
      </c>
      <c r="Q10" s="44">
        <f t="shared" ref="Q10:S10" si="1">SUM(Q11:Q12)</f>
        <v>237408</v>
      </c>
      <c r="R10" s="44">
        <f t="shared" si="1"/>
        <v>244126</v>
      </c>
      <c r="S10" s="44">
        <f t="shared" si="1"/>
        <v>228780</v>
      </c>
      <c r="T10" s="44">
        <f t="shared" ref="T10:U10" si="2">SUM(T11:T12)</f>
        <v>224498</v>
      </c>
      <c r="U10" s="44">
        <f t="shared" si="2"/>
        <v>237418</v>
      </c>
      <c r="V10" s="44">
        <f t="shared" ref="V10:W10" si="3">SUM(V11:V12)</f>
        <v>240136</v>
      </c>
      <c r="W10" s="44">
        <f t="shared" si="3"/>
        <v>238031</v>
      </c>
    </row>
    <row r="11" spans="2:23" ht="12" customHeight="1" x14ac:dyDescent="0.2">
      <c r="B11" s="18"/>
      <c r="C11" s="19" t="s">
        <v>1</v>
      </c>
      <c r="D11" s="9"/>
      <c r="E11" s="9"/>
      <c r="F11" s="9"/>
      <c r="G11" s="9"/>
      <c r="H11" s="9">
        <v>4499</v>
      </c>
      <c r="I11" s="9">
        <v>4278</v>
      </c>
      <c r="J11" s="9">
        <v>5142</v>
      </c>
      <c r="K11" s="9">
        <v>4045</v>
      </c>
      <c r="L11" s="9">
        <v>4515</v>
      </c>
      <c r="M11" s="9">
        <v>4595</v>
      </c>
      <c r="N11" s="9">
        <v>5047</v>
      </c>
      <c r="O11" s="9">
        <v>7322</v>
      </c>
      <c r="P11" s="9">
        <v>3613</v>
      </c>
      <c r="Q11" s="9">
        <v>2863</v>
      </c>
      <c r="R11" s="10">
        <v>6018</v>
      </c>
      <c r="S11" s="10">
        <v>4745</v>
      </c>
      <c r="T11" s="10">
        <v>3322</v>
      </c>
      <c r="U11" s="10">
        <v>3844</v>
      </c>
      <c r="V11" s="10">
        <v>5241</v>
      </c>
      <c r="W11" s="10">
        <v>8071</v>
      </c>
    </row>
    <row r="12" spans="2:23" ht="12" customHeight="1" x14ac:dyDescent="0.2">
      <c r="B12" s="18"/>
      <c r="C12" s="19" t="s">
        <v>2</v>
      </c>
      <c r="D12" s="9"/>
      <c r="E12" s="9"/>
      <c r="F12" s="9"/>
      <c r="G12" s="9"/>
      <c r="H12" s="9">
        <v>177738</v>
      </c>
      <c r="I12" s="9">
        <v>198021</v>
      </c>
      <c r="J12" s="9">
        <v>197035</v>
      </c>
      <c r="K12" s="9">
        <v>237044</v>
      </c>
      <c r="L12" s="9">
        <v>207964</v>
      </c>
      <c r="M12" s="9">
        <v>206187</v>
      </c>
      <c r="N12" s="9">
        <v>215448</v>
      </c>
      <c r="O12" s="9">
        <v>226515</v>
      </c>
      <c r="P12" s="9">
        <v>220923</v>
      </c>
      <c r="Q12" s="9">
        <v>234545</v>
      </c>
      <c r="R12" s="10">
        <v>238108</v>
      </c>
      <c r="S12" s="10">
        <v>224035</v>
      </c>
      <c r="T12" s="10">
        <v>221176</v>
      </c>
      <c r="U12" s="10">
        <v>233574</v>
      </c>
      <c r="V12" s="10">
        <v>234895</v>
      </c>
      <c r="W12" s="10">
        <v>229960</v>
      </c>
    </row>
    <row r="13" spans="2:23" ht="12" customHeight="1" x14ac:dyDescent="0.2">
      <c r="B13" s="187" t="s">
        <v>33</v>
      </c>
      <c r="C13" s="187"/>
      <c r="D13" s="44"/>
      <c r="E13" s="44"/>
      <c r="F13" s="44"/>
      <c r="G13" s="44"/>
      <c r="H13" s="44">
        <f t="shared" ref="H13:S13" si="4">SUM(H14:H15)</f>
        <v>-124522</v>
      </c>
      <c r="I13" s="44">
        <f t="shared" si="4"/>
        <v>-136676</v>
      </c>
      <c r="J13" s="44">
        <f t="shared" si="4"/>
        <v>-139161</v>
      </c>
      <c r="K13" s="44">
        <f t="shared" si="4"/>
        <v>-168538</v>
      </c>
      <c r="L13" s="44">
        <f t="shared" si="4"/>
        <v>-149282</v>
      </c>
      <c r="M13" s="44">
        <f t="shared" si="4"/>
        <v>-147923</v>
      </c>
      <c r="N13" s="44">
        <f t="shared" si="4"/>
        <v>-163962</v>
      </c>
      <c r="O13" s="44">
        <f t="shared" si="4"/>
        <v>-178664</v>
      </c>
      <c r="P13" s="44">
        <f t="shared" si="4"/>
        <v>-163484</v>
      </c>
      <c r="Q13" s="44">
        <f t="shared" si="4"/>
        <v>-176972</v>
      </c>
      <c r="R13" s="44">
        <f t="shared" si="4"/>
        <v>-189344</v>
      </c>
      <c r="S13" s="44">
        <f t="shared" si="4"/>
        <v>-175440</v>
      </c>
      <c r="T13" s="44">
        <f t="shared" ref="T13:U13" si="5">SUM(T14:T15)</f>
        <v>-165134</v>
      </c>
      <c r="U13" s="44">
        <f t="shared" si="5"/>
        <v>-181649</v>
      </c>
      <c r="V13" s="44">
        <f t="shared" ref="V13:W13" si="6">SUM(V14:V15)</f>
        <v>-188749</v>
      </c>
      <c r="W13" s="44">
        <f t="shared" si="6"/>
        <v>-190974</v>
      </c>
    </row>
    <row r="14" spans="2:23" ht="12" customHeight="1" x14ac:dyDescent="0.2">
      <c r="B14" s="18"/>
      <c r="C14" s="19" t="s">
        <v>1</v>
      </c>
      <c r="D14" s="9"/>
      <c r="E14" s="9"/>
      <c r="F14" s="9"/>
      <c r="G14" s="9"/>
      <c r="H14" s="9">
        <v>-2909</v>
      </c>
      <c r="I14" s="9">
        <v>-2908</v>
      </c>
      <c r="J14" s="9">
        <v>-3559</v>
      </c>
      <c r="K14" s="9">
        <v>-2530</v>
      </c>
      <c r="L14" s="9">
        <v>-3068</v>
      </c>
      <c r="M14" s="9">
        <v>-2933</v>
      </c>
      <c r="N14" s="9">
        <v>-3179</v>
      </c>
      <c r="O14" s="9">
        <v>-5010</v>
      </c>
      <c r="P14" s="9">
        <v>-2240</v>
      </c>
      <c r="Q14" s="9">
        <v>-1675</v>
      </c>
      <c r="R14" s="10">
        <v>-3938</v>
      </c>
      <c r="S14" s="10">
        <v>-3042</v>
      </c>
      <c r="T14" s="10">
        <v>-1963</v>
      </c>
      <c r="U14" s="10">
        <v>-2220</v>
      </c>
      <c r="V14" s="10">
        <v>-3300</v>
      </c>
      <c r="W14" s="10">
        <v>-5531</v>
      </c>
    </row>
    <row r="15" spans="2:23" ht="12" customHeight="1" x14ac:dyDescent="0.2">
      <c r="B15" s="18"/>
      <c r="C15" s="19" t="s">
        <v>2</v>
      </c>
      <c r="D15" s="9"/>
      <c r="E15" s="9"/>
      <c r="F15" s="9"/>
      <c r="G15" s="9"/>
      <c r="H15" s="9">
        <v>-121613</v>
      </c>
      <c r="I15" s="9">
        <v>-133768</v>
      </c>
      <c r="J15" s="9">
        <v>-135602</v>
      </c>
      <c r="K15" s="9">
        <v>-166008</v>
      </c>
      <c r="L15" s="9">
        <v>-146214</v>
      </c>
      <c r="M15" s="9">
        <v>-144990</v>
      </c>
      <c r="N15" s="9">
        <v>-160783</v>
      </c>
      <c r="O15" s="9">
        <v>-173654</v>
      </c>
      <c r="P15" s="9">
        <v>-161244</v>
      </c>
      <c r="Q15" s="9">
        <v>-175297</v>
      </c>
      <c r="R15" s="10">
        <v>-185406</v>
      </c>
      <c r="S15" s="10">
        <v>-172398</v>
      </c>
      <c r="T15" s="10">
        <v>-163171</v>
      </c>
      <c r="U15" s="10">
        <v>-179429</v>
      </c>
      <c r="V15" s="10">
        <v>-185449</v>
      </c>
      <c r="W15" s="10">
        <v>-185443</v>
      </c>
    </row>
    <row r="16" spans="2:23" ht="12" customHeight="1" x14ac:dyDescent="0.2">
      <c r="B16" s="187" t="s">
        <v>3</v>
      </c>
      <c r="C16" s="187"/>
      <c r="D16" s="44"/>
      <c r="E16" s="44"/>
      <c r="F16" s="44"/>
      <c r="G16" s="44"/>
      <c r="H16" s="44">
        <f t="shared" ref="H16:S16" si="7">H10+H13</f>
        <v>57715</v>
      </c>
      <c r="I16" s="44">
        <f t="shared" si="7"/>
        <v>65623</v>
      </c>
      <c r="J16" s="44">
        <f t="shared" si="7"/>
        <v>63016</v>
      </c>
      <c r="K16" s="44">
        <f t="shared" si="7"/>
        <v>72551</v>
      </c>
      <c r="L16" s="44">
        <f t="shared" si="7"/>
        <v>63197</v>
      </c>
      <c r="M16" s="44">
        <f t="shared" si="7"/>
        <v>62859</v>
      </c>
      <c r="N16" s="44">
        <f t="shared" si="7"/>
        <v>56533</v>
      </c>
      <c r="O16" s="44">
        <f t="shared" si="7"/>
        <v>55173</v>
      </c>
      <c r="P16" s="44">
        <f t="shared" si="7"/>
        <v>61052</v>
      </c>
      <c r="Q16" s="44">
        <f t="shared" si="7"/>
        <v>60436</v>
      </c>
      <c r="R16" s="44">
        <f t="shared" si="7"/>
        <v>54782</v>
      </c>
      <c r="S16" s="44">
        <f t="shared" si="7"/>
        <v>53340</v>
      </c>
      <c r="T16" s="44">
        <f t="shared" ref="T16:U16" si="8">T10+T13</f>
        <v>59364</v>
      </c>
      <c r="U16" s="44">
        <f t="shared" si="8"/>
        <v>55769</v>
      </c>
      <c r="V16" s="44">
        <f t="shared" ref="V16:W16" si="9">V10+V13</f>
        <v>51387</v>
      </c>
      <c r="W16" s="44">
        <f t="shared" si="9"/>
        <v>47057</v>
      </c>
    </row>
    <row r="17" spans="2:39" ht="12" customHeight="1" x14ac:dyDescent="0.2">
      <c r="B17" s="18"/>
      <c r="C17" s="19" t="s">
        <v>4</v>
      </c>
      <c r="D17" s="9"/>
      <c r="E17" s="9"/>
      <c r="F17" s="9"/>
      <c r="G17" s="9"/>
      <c r="H17" s="9">
        <v>-8849</v>
      </c>
      <c r="I17" s="13">
        <v>-9788</v>
      </c>
      <c r="J17" s="13">
        <v>-10160</v>
      </c>
      <c r="K17" s="9">
        <v>-13226</v>
      </c>
      <c r="L17" s="13">
        <v>-8807</v>
      </c>
      <c r="M17" s="13">
        <v>-10553</v>
      </c>
      <c r="N17" s="13">
        <v>-9354</v>
      </c>
      <c r="O17" s="9">
        <v>-11040</v>
      </c>
      <c r="P17" s="13">
        <v>-9043</v>
      </c>
      <c r="Q17" s="13">
        <v>-7880</v>
      </c>
      <c r="R17" s="13">
        <v>-7374</v>
      </c>
      <c r="S17" s="13">
        <v>-7941</v>
      </c>
      <c r="T17" s="10">
        <v>-8364</v>
      </c>
      <c r="U17" s="10">
        <v>-8537</v>
      </c>
      <c r="V17" s="10">
        <v>-8653</v>
      </c>
      <c r="W17" s="10">
        <v>-10998</v>
      </c>
    </row>
    <row r="18" spans="2:39" ht="12" customHeight="1" x14ac:dyDescent="0.2">
      <c r="B18" s="18"/>
      <c r="C18" s="19" t="s">
        <v>5</v>
      </c>
      <c r="D18" s="9"/>
      <c r="E18" s="9"/>
      <c r="F18" s="9"/>
      <c r="G18" s="9"/>
      <c r="H18" s="9">
        <v>-28555</v>
      </c>
      <c r="I18" s="13">
        <v>-30345</v>
      </c>
      <c r="J18" s="13">
        <v>-28906</v>
      </c>
      <c r="K18" s="9">
        <v>-32206</v>
      </c>
      <c r="L18" s="13">
        <v>-32223</v>
      </c>
      <c r="M18" s="13">
        <v>-31631</v>
      </c>
      <c r="N18" s="13">
        <v>-29543</v>
      </c>
      <c r="O18" s="9">
        <v>-30077</v>
      </c>
      <c r="P18" s="13">
        <v>-32401</v>
      </c>
      <c r="Q18" s="13">
        <v>-30826</v>
      </c>
      <c r="R18" s="13">
        <v>-31424</v>
      </c>
      <c r="S18" s="13">
        <v>-31483</v>
      </c>
      <c r="T18" s="10">
        <v>-33935</v>
      </c>
      <c r="U18" s="10">
        <v>-31397</v>
      </c>
      <c r="V18" s="10">
        <v>-29495</v>
      </c>
      <c r="W18" s="10">
        <v>-33458</v>
      </c>
    </row>
    <row r="19" spans="2:39" ht="12" customHeight="1" x14ac:dyDescent="0.2">
      <c r="B19" s="187" t="s">
        <v>6</v>
      </c>
      <c r="C19" s="187"/>
      <c r="D19" s="44"/>
      <c r="E19" s="44"/>
      <c r="F19" s="44"/>
      <c r="G19" s="44"/>
      <c r="H19" s="44">
        <f t="shared" ref="H19:R19" si="10">SUM(H16:H18)</f>
        <v>20311</v>
      </c>
      <c r="I19" s="44">
        <f t="shared" si="10"/>
        <v>25490</v>
      </c>
      <c r="J19" s="44">
        <f t="shared" si="10"/>
        <v>23950</v>
      </c>
      <c r="K19" s="44">
        <f t="shared" si="10"/>
        <v>27119</v>
      </c>
      <c r="L19" s="44">
        <f t="shared" si="10"/>
        <v>22167</v>
      </c>
      <c r="M19" s="44">
        <f t="shared" si="10"/>
        <v>20675</v>
      </c>
      <c r="N19" s="44">
        <f t="shared" si="10"/>
        <v>17636</v>
      </c>
      <c r="O19" s="44">
        <f t="shared" si="10"/>
        <v>14056</v>
      </c>
      <c r="P19" s="44">
        <f t="shared" si="10"/>
        <v>19608</v>
      </c>
      <c r="Q19" s="44">
        <f t="shared" si="10"/>
        <v>21730</v>
      </c>
      <c r="R19" s="44">
        <f t="shared" si="10"/>
        <v>15984</v>
      </c>
      <c r="S19" s="44">
        <f t="shared" ref="S19:T19" si="11">SUM(S16:S18)</f>
        <v>13916</v>
      </c>
      <c r="T19" s="44">
        <f t="shared" si="11"/>
        <v>17065</v>
      </c>
      <c r="U19" s="44">
        <f t="shared" ref="U19:V19" si="12">SUM(U16:U18)</f>
        <v>15835</v>
      </c>
      <c r="V19" s="44">
        <f t="shared" si="12"/>
        <v>13239</v>
      </c>
      <c r="W19" s="44">
        <f t="shared" ref="W19" si="13">SUM(W16:W18)</f>
        <v>2601</v>
      </c>
    </row>
    <row r="20" spans="2:39" ht="12" customHeight="1" x14ac:dyDescent="0.2">
      <c r="B20" s="187" t="s">
        <v>34</v>
      </c>
      <c r="C20" s="187"/>
      <c r="D20" s="44"/>
      <c r="E20" s="44"/>
      <c r="F20" s="44"/>
      <c r="G20" s="44"/>
      <c r="H20" s="44">
        <f t="shared" ref="H20:R20" si="14">SUM(H21:H22)</f>
        <v>-1001</v>
      </c>
      <c r="I20" s="44">
        <f t="shared" si="14"/>
        <v>-575</v>
      </c>
      <c r="J20" s="44">
        <f t="shared" si="14"/>
        <v>-788.95153201599896</v>
      </c>
      <c r="K20" s="44">
        <f t="shared" si="14"/>
        <v>-4722.048467984001</v>
      </c>
      <c r="L20" s="44">
        <f t="shared" si="14"/>
        <v>-783</v>
      </c>
      <c r="M20" s="44">
        <f t="shared" si="14"/>
        <v>-1064</v>
      </c>
      <c r="N20" s="44">
        <f t="shared" si="14"/>
        <v>-3020.0043700000015</v>
      </c>
      <c r="O20" s="44">
        <f t="shared" si="14"/>
        <v>5357.0043700000015</v>
      </c>
      <c r="P20" s="44">
        <f t="shared" si="14"/>
        <v>782</v>
      </c>
      <c r="Q20" s="44">
        <f t="shared" si="14"/>
        <v>-2110</v>
      </c>
      <c r="R20" s="44">
        <f t="shared" si="14"/>
        <v>3321.1267100000005</v>
      </c>
      <c r="S20" s="44">
        <f t="shared" ref="S20:T20" si="15">SUM(S21:S22)</f>
        <v>4007.8732900000032</v>
      </c>
      <c r="T20" s="44">
        <f t="shared" si="15"/>
        <v>39047</v>
      </c>
      <c r="U20" s="44">
        <f t="shared" ref="U20:V20" si="16">SUM(U21:U22)</f>
        <v>90</v>
      </c>
      <c r="V20" s="44">
        <f t="shared" si="16"/>
        <v>3332.2450400000034</v>
      </c>
      <c r="W20" s="44">
        <f t="shared" ref="W20" si="17">SUM(W21:W22)</f>
        <v>1955.7549599999973</v>
      </c>
    </row>
    <row r="21" spans="2:39" ht="12" customHeight="1" x14ac:dyDescent="0.2">
      <c r="B21" s="20"/>
      <c r="C21" s="21" t="s">
        <v>35</v>
      </c>
      <c r="D21" s="9"/>
      <c r="E21" s="9"/>
      <c r="F21" s="9"/>
      <c r="G21" s="9"/>
      <c r="H21" s="9">
        <v>188</v>
      </c>
      <c r="I21" s="14">
        <v>2702</v>
      </c>
      <c r="J21" s="14">
        <v>3369.9099879840014</v>
      </c>
      <c r="K21" s="9">
        <v>383.09001201599858</v>
      </c>
      <c r="L21" s="14">
        <v>411</v>
      </c>
      <c r="M21" s="14">
        <v>1427</v>
      </c>
      <c r="N21" s="14">
        <v>2940.3926500000007</v>
      </c>
      <c r="O21" s="9">
        <v>4330.6073499999993</v>
      </c>
      <c r="P21" s="14">
        <v>2218</v>
      </c>
      <c r="Q21" s="14">
        <v>866</v>
      </c>
      <c r="R21" s="14">
        <v>7595.6926299999996</v>
      </c>
      <c r="S21" s="14">
        <v>2590.3073700000045</v>
      </c>
      <c r="T21" s="10">
        <v>39403</v>
      </c>
      <c r="U21" s="10">
        <v>637</v>
      </c>
      <c r="V21" s="10">
        <v>3529.0982400000066</v>
      </c>
      <c r="W21" s="10">
        <v>2472.9017599999943</v>
      </c>
    </row>
    <row r="22" spans="2:39" ht="12" customHeight="1" x14ac:dyDescent="0.2">
      <c r="B22" s="20"/>
      <c r="C22" s="21" t="s">
        <v>36</v>
      </c>
      <c r="D22" s="9"/>
      <c r="E22" s="9"/>
      <c r="F22" s="9"/>
      <c r="G22" s="9"/>
      <c r="H22" s="9">
        <v>-1189</v>
      </c>
      <c r="I22" s="14">
        <v>-3277</v>
      </c>
      <c r="J22" s="14">
        <v>-4158.8615200000004</v>
      </c>
      <c r="K22" s="9">
        <v>-5105.1384799999996</v>
      </c>
      <c r="L22" s="14">
        <v>-1194</v>
      </c>
      <c r="M22" s="14">
        <v>-2491</v>
      </c>
      <c r="N22" s="14">
        <v>-5960.3970200000022</v>
      </c>
      <c r="O22" s="9">
        <v>1026.3970200000022</v>
      </c>
      <c r="P22" s="14">
        <v>-1436</v>
      </c>
      <c r="Q22" s="14">
        <v>-2976</v>
      </c>
      <c r="R22" s="14">
        <v>-4274.5659199999991</v>
      </c>
      <c r="S22" s="14">
        <v>1417.5659199999989</v>
      </c>
      <c r="T22" s="10">
        <v>-356</v>
      </c>
      <c r="U22" s="10">
        <v>-547</v>
      </c>
      <c r="V22" s="10">
        <v>-196.85320000000297</v>
      </c>
      <c r="W22" s="10">
        <v>-517.14679999999703</v>
      </c>
    </row>
    <row r="23" spans="2:39" s="15" customFormat="1" ht="12" customHeight="1" x14ac:dyDescent="0.2">
      <c r="B23" s="188" t="s">
        <v>7</v>
      </c>
      <c r="C23" s="189"/>
      <c r="D23" s="9"/>
      <c r="E23" s="9"/>
      <c r="F23" s="9"/>
      <c r="G23" s="9"/>
      <c r="H23" s="9">
        <v>157</v>
      </c>
      <c r="I23" s="7">
        <v>296</v>
      </c>
      <c r="J23" s="7">
        <v>480</v>
      </c>
      <c r="K23" s="9">
        <v>409</v>
      </c>
      <c r="L23" s="7">
        <v>235</v>
      </c>
      <c r="M23" s="7">
        <v>328</v>
      </c>
      <c r="N23" s="7">
        <v>603</v>
      </c>
      <c r="O23" s="9">
        <v>227</v>
      </c>
      <c r="P23" s="7">
        <v>-6</v>
      </c>
      <c r="Q23" s="7">
        <v>406</v>
      </c>
      <c r="R23" s="7">
        <v>458.97626740199996</v>
      </c>
      <c r="S23" s="7">
        <v>493.02373259800004</v>
      </c>
      <c r="T23" s="10">
        <v>302</v>
      </c>
      <c r="U23" s="10">
        <v>280</v>
      </c>
      <c r="V23" s="10">
        <v>378.66145999999992</v>
      </c>
      <c r="W23" s="10">
        <v>675.33854000000019</v>
      </c>
      <c r="X23" s="3"/>
      <c r="Y23" s="3"/>
      <c r="Z23" s="3"/>
      <c r="AA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</row>
    <row r="24" spans="2:39" s="15" customFormat="1" ht="12" customHeight="1" x14ac:dyDescent="0.2">
      <c r="B24" s="188" t="s">
        <v>27</v>
      </c>
      <c r="C24" s="189"/>
      <c r="D24" s="9"/>
      <c r="E24" s="9"/>
      <c r="F24" s="9"/>
      <c r="G24" s="9"/>
      <c r="H24" s="9">
        <v>0</v>
      </c>
      <c r="I24" s="7">
        <v>0</v>
      </c>
      <c r="J24" s="7">
        <v>0</v>
      </c>
      <c r="K24" s="9">
        <v>0</v>
      </c>
      <c r="L24" s="7">
        <v>0</v>
      </c>
      <c r="M24" s="7">
        <v>0</v>
      </c>
      <c r="N24" s="7">
        <v>0</v>
      </c>
      <c r="O24" s="9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10">
        <v>0</v>
      </c>
      <c r="W24" s="10">
        <v>0</v>
      </c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</row>
    <row r="25" spans="2:39" ht="12" customHeight="1" x14ac:dyDescent="0.2">
      <c r="B25" s="187" t="s">
        <v>8</v>
      </c>
      <c r="C25" s="187"/>
      <c r="D25" s="44"/>
      <c r="E25" s="44"/>
      <c r="F25" s="44"/>
      <c r="G25" s="44"/>
      <c r="H25" s="44">
        <f t="shared" ref="H25:R25" si="18">SUM(H19:H20)+H23+H24</f>
        <v>19467</v>
      </c>
      <c r="I25" s="44">
        <f t="shared" si="18"/>
        <v>25211</v>
      </c>
      <c r="J25" s="44">
        <f t="shared" si="18"/>
        <v>23641.048467984001</v>
      </c>
      <c r="K25" s="44">
        <f t="shared" si="18"/>
        <v>22805.951532015999</v>
      </c>
      <c r="L25" s="44">
        <f t="shared" si="18"/>
        <v>21619</v>
      </c>
      <c r="M25" s="44">
        <f t="shared" si="18"/>
        <v>19939</v>
      </c>
      <c r="N25" s="44">
        <f t="shared" si="18"/>
        <v>15218.995629999998</v>
      </c>
      <c r="O25" s="44">
        <f t="shared" si="18"/>
        <v>19640.004370000002</v>
      </c>
      <c r="P25" s="44">
        <f t="shared" si="18"/>
        <v>20384</v>
      </c>
      <c r="Q25" s="44">
        <f t="shared" si="18"/>
        <v>20026</v>
      </c>
      <c r="R25" s="44">
        <f t="shared" si="18"/>
        <v>19764.102977401999</v>
      </c>
      <c r="S25" s="44">
        <f t="shared" ref="S25:U25" si="19">SUM(S19:S20)+S23+S24</f>
        <v>18416.897022598005</v>
      </c>
      <c r="T25" s="44">
        <f t="shared" si="19"/>
        <v>56414</v>
      </c>
      <c r="U25" s="44">
        <f t="shared" si="19"/>
        <v>16205</v>
      </c>
      <c r="V25" s="44">
        <f t="shared" ref="V25:W25" si="20">SUM(V19:V20)+V23+V24</f>
        <v>16949.906500000001</v>
      </c>
      <c r="W25" s="44">
        <f t="shared" si="20"/>
        <v>5232.0934999999972</v>
      </c>
    </row>
    <row r="26" spans="2:39" ht="12" customHeight="1" x14ac:dyDescent="0.2">
      <c r="B26" s="187" t="s">
        <v>37</v>
      </c>
      <c r="C26" s="187"/>
      <c r="D26" s="44"/>
      <c r="E26" s="44"/>
      <c r="F26" s="44"/>
      <c r="G26" s="44"/>
      <c r="H26" s="44">
        <f t="shared" ref="H26" si="21">SUM(H27:H28)</f>
        <v>56</v>
      </c>
      <c r="I26" s="44">
        <f t="shared" ref="I26:R26" si="22">SUM(I27:I28)</f>
        <v>1357</v>
      </c>
      <c r="J26" s="44">
        <f t="shared" si="22"/>
        <v>-910.61839000000236</v>
      </c>
      <c r="K26" s="44">
        <f t="shared" si="22"/>
        <v>146.61839000000236</v>
      </c>
      <c r="L26" s="44">
        <f t="shared" si="22"/>
        <v>208</v>
      </c>
      <c r="M26" s="44">
        <f t="shared" si="22"/>
        <v>-597</v>
      </c>
      <c r="N26" s="44">
        <f t="shared" si="22"/>
        <v>-422.33050000000821</v>
      </c>
      <c r="O26" s="44">
        <f t="shared" si="22"/>
        <v>-1721.6694999999918</v>
      </c>
      <c r="P26" s="44">
        <f t="shared" si="22"/>
        <v>3791</v>
      </c>
      <c r="Q26" s="44">
        <f t="shared" si="22"/>
        <v>-353</v>
      </c>
      <c r="R26" s="44">
        <f t="shared" si="22"/>
        <v>1021.1312677904007</v>
      </c>
      <c r="S26" s="44">
        <f t="shared" ref="S26:T26" si="23">SUM(S27:S28)</f>
        <v>-1133.1312677904009</v>
      </c>
      <c r="T26" s="44">
        <f t="shared" si="23"/>
        <v>-2383</v>
      </c>
      <c r="U26" s="44">
        <f t="shared" ref="U26:V26" si="24">SUM(U27:U28)</f>
        <v>-3069</v>
      </c>
      <c r="V26" s="44">
        <f t="shared" si="24"/>
        <v>-447.62348500001031</v>
      </c>
      <c r="W26" s="44">
        <f t="shared" ref="W26" si="25">SUM(W27:W28)</f>
        <v>-3657.376514999989</v>
      </c>
    </row>
    <row r="27" spans="2:39" ht="12" customHeight="1" x14ac:dyDescent="0.2">
      <c r="B27" s="20"/>
      <c r="C27" s="21" t="s">
        <v>35</v>
      </c>
      <c r="D27" s="9"/>
      <c r="E27" s="9"/>
      <c r="F27" s="9"/>
      <c r="G27" s="9"/>
      <c r="H27" s="9">
        <v>1135</v>
      </c>
      <c r="I27" s="14">
        <v>2810</v>
      </c>
      <c r="J27" s="14">
        <v>809.66481999999723</v>
      </c>
      <c r="K27" s="9">
        <v>2422.3351800000028</v>
      </c>
      <c r="L27" s="14">
        <v>2243</v>
      </c>
      <c r="M27" s="14">
        <v>1496</v>
      </c>
      <c r="N27" s="14">
        <v>1841.0028999999913</v>
      </c>
      <c r="O27" s="9">
        <v>796.99710000000869</v>
      </c>
      <c r="P27" s="14">
        <v>5463</v>
      </c>
      <c r="Q27" s="14">
        <v>157</v>
      </c>
      <c r="R27" s="14">
        <v>2062.5449777904005</v>
      </c>
      <c r="S27" s="14">
        <v>397.45502220959997</v>
      </c>
      <c r="T27" s="10">
        <v>347</v>
      </c>
      <c r="U27" s="10">
        <v>295</v>
      </c>
      <c r="V27" s="10">
        <v>281.79032999999072</v>
      </c>
      <c r="W27" s="10">
        <v>383.20967000000951</v>
      </c>
    </row>
    <row r="28" spans="2:39" ht="12" customHeight="1" x14ac:dyDescent="0.2">
      <c r="B28" s="20"/>
      <c r="C28" s="21" t="s">
        <v>36</v>
      </c>
      <c r="D28" s="9"/>
      <c r="E28" s="9"/>
      <c r="F28" s="9"/>
      <c r="G28" s="9"/>
      <c r="H28" s="9">
        <v>-1079</v>
      </c>
      <c r="I28" s="13">
        <v>-1453</v>
      </c>
      <c r="J28" s="13">
        <v>-1720.2832099999996</v>
      </c>
      <c r="K28" s="9">
        <v>-2275.7167900000004</v>
      </c>
      <c r="L28" s="13">
        <v>-2035</v>
      </c>
      <c r="M28" s="13">
        <v>-2093</v>
      </c>
      <c r="N28" s="13">
        <v>-2263.3333999999995</v>
      </c>
      <c r="O28" s="9">
        <v>-2518.6666000000005</v>
      </c>
      <c r="P28" s="13">
        <v>-1672</v>
      </c>
      <c r="Q28" s="13">
        <v>-510</v>
      </c>
      <c r="R28" s="13">
        <v>-1041.4137099999998</v>
      </c>
      <c r="S28" s="13">
        <v>-1530.5862900000009</v>
      </c>
      <c r="T28" s="10">
        <v>-2730</v>
      </c>
      <c r="U28" s="10">
        <v>-3364</v>
      </c>
      <c r="V28" s="10">
        <f>-728.913815000001-0.5</f>
        <v>-729.41381500000102</v>
      </c>
      <c r="W28" s="10">
        <v>-4040.5861849999983</v>
      </c>
      <c r="AB28" s="15"/>
    </row>
    <row r="29" spans="2:39" s="15" customFormat="1" ht="12" customHeight="1" x14ac:dyDescent="0.2">
      <c r="B29" s="188" t="s">
        <v>28</v>
      </c>
      <c r="C29" s="189"/>
      <c r="D29" s="9"/>
      <c r="E29" s="9"/>
      <c r="F29" s="9"/>
      <c r="G29" s="9"/>
      <c r="H29" s="9">
        <v>0</v>
      </c>
      <c r="I29" s="7">
        <v>0</v>
      </c>
      <c r="J29" s="7">
        <v>0</v>
      </c>
      <c r="K29" s="9">
        <v>0</v>
      </c>
      <c r="L29" s="7">
        <v>0</v>
      </c>
      <c r="M29" s="7">
        <v>0</v>
      </c>
      <c r="N29" s="7">
        <v>0</v>
      </c>
      <c r="O29" s="9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  <c r="U29" s="7">
        <v>0</v>
      </c>
      <c r="V29" s="10">
        <v>0</v>
      </c>
      <c r="W29" s="10"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</row>
    <row r="30" spans="2:39" ht="12" customHeight="1" x14ac:dyDescent="0.2">
      <c r="B30" s="187" t="s">
        <v>9</v>
      </c>
      <c r="C30" s="187"/>
      <c r="D30" s="44"/>
      <c r="E30" s="44"/>
      <c r="F30" s="44"/>
      <c r="G30" s="44"/>
      <c r="H30" s="44" cm="1">
        <f t="array" ref="H30">SUM(H25:H26+H29)</f>
        <v>19523</v>
      </c>
      <c r="I30" s="44" cm="1">
        <f t="array" ref="I30">SUM(I25:I26+I29)</f>
        <v>26568</v>
      </c>
      <c r="J30" s="44" cm="1">
        <f t="array" ref="J30">SUM(J25:J26+J29)</f>
        <v>22730.430077983998</v>
      </c>
      <c r="K30" s="44" cm="1">
        <f t="array" ref="K30">SUM(K25:K26+K29)</f>
        <v>22952.569922016002</v>
      </c>
      <c r="L30" s="44" cm="1">
        <f t="array" ref="L30">SUM(L25:L26+L29)</f>
        <v>21827</v>
      </c>
      <c r="M30" s="44" cm="1">
        <f t="array" ref="M30">SUM(M25:M26+M29)</f>
        <v>19342</v>
      </c>
      <c r="N30" s="44" cm="1">
        <f t="array" ref="N30">SUM(N25:N26+N29)</f>
        <v>14796.66512999999</v>
      </c>
      <c r="O30" s="44" cm="1">
        <f t="array" ref="O30">SUM(O25:O26+O29)</f>
        <v>17918.33487000001</v>
      </c>
      <c r="P30" s="44" cm="1">
        <f t="array" ref="P30">SUM(P25:P26+P29)</f>
        <v>24175</v>
      </c>
      <c r="Q30" s="44" cm="1">
        <f t="array" ref="Q30">SUM(Q25:Q26+Q29)</f>
        <v>19673</v>
      </c>
      <c r="R30" s="44" cm="1">
        <f t="array" ref="R30">SUM(R25:R26+R29)</f>
        <v>20785.234245192398</v>
      </c>
      <c r="S30" s="44" cm="1">
        <f t="array" ref="S30">SUM(S25:S26+S29)</f>
        <v>17283.765754807602</v>
      </c>
      <c r="T30" s="44" cm="1">
        <f t="array" ref="T30">SUM(T25:T26+T29)</f>
        <v>54031</v>
      </c>
      <c r="U30" s="44" cm="1">
        <f t="array" ref="U30">SUM(U25:U26+U29)</f>
        <v>13136</v>
      </c>
      <c r="V30" s="44" cm="1">
        <f t="array" ref="V30">SUM(V25:V26+V29)</f>
        <v>16502.28301499999</v>
      </c>
      <c r="W30" s="44" cm="1">
        <f t="array" ref="W30">SUM(W25:W26+W29)</f>
        <v>1574.7169850000082</v>
      </c>
    </row>
    <row r="31" spans="2:39" ht="12" customHeight="1" x14ac:dyDescent="0.2">
      <c r="B31" s="18"/>
      <c r="C31" s="19" t="s">
        <v>10</v>
      </c>
      <c r="D31" s="9"/>
      <c r="E31" s="9"/>
      <c r="F31" s="9"/>
      <c r="G31" s="9"/>
      <c r="H31" s="9">
        <v>-4431</v>
      </c>
      <c r="I31" s="13">
        <v>-5081</v>
      </c>
      <c r="J31" s="13">
        <v>-3784</v>
      </c>
      <c r="K31" s="9">
        <v>-3662</v>
      </c>
      <c r="L31" s="13">
        <v>-5048</v>
      </c>
      <c r="M31" s="13">
        <v>-3534</v>
      </c>
      <c r="N31" s="13">
        <v>-4206</v>
      </c>
      <c r="O31" s="9">
        <v>-2871</v>
      </c>
      <c r="P31" s="13">
        <v>-6113</v>
      </c>
      <c r="Q31" s="13">
        <v>-3866</v>
      </c>
      <c r="R31" s="14">
        <v>-1893</v>
      </c>
      <c r="S31" s="14">
        <v>-3607</v>
      </c>
      <c r="T31" s="10">
        <v>-16956</v>
      </c>
      <c r="U31" s="10">
        <v>-2749</v>
      </c>
      <c r="V31" s="10">
        <v>-3061</v>
      </c>
      <c r="W31" s="10">
        <v>-2163</v>
      </c>
    </row>
    <row r="32" spans="2:39" ht="12" customHeight="1" x14ac:dyDescent="0.2">
      <c r="B32" s="18"/>
      <c r="C32" s="19" t="s">
        <v>11</v>
      </c>
      <c r="D32" s="9"/>
      <c r="E32" s="9"/>
      <c r="F32" s="9"/>
      <c r="G32" s="9"/>
      <c r="H32" s="9">
        <v>-488</v>
      </c>
      <c r="I32" s="9">
        <v>-67</v>
      </c>
      <c r="J32" s="9">
        <v>-1701</v>
      </c>
      <c r="K32" s="9">
        <v>-3324</v>
      </c>
      <c r="L32" s="9">
        <v>-1352</v>
      </c>
      <c r="M32" s="9">
        <v>-409</v>
      </c>
      <c r="N32" s="9">
        <v>119</v>
      </c>
      <c r="O32" s="9">
        <v>-1296</v>
      </c>
      <c r="P32" s="9">
        <v>-725</v>
      </c>
      <c r="Q32" s="9">
        <v>-725</v>
      </c>
      <c r="R32" s="9">
        <v>-1983</v>
      </c>
      <c r="S32" s="9">
        <v>-768</v>
      </c>
      <c r="T32" s="10">
        <v>4279</v>
      </c>
      <c r="U32" s="10">
        <v>-529</v>
      </c>
      <c r="V32" s="10">
        <v>-422</v>
      </c>
      <c r="W32" s="10">
        <v>-307</v>
      </c>
      <c r="AA32" s="15"/>
      <c r="AB32" s="15"/>
    </row>
    <row r="33" spans="2:39" ht="12" customHeight="1" x14ac:dyDescent="0.2">
      <c r="B33" s="187" t="s">
        <v>12</v>
      </c>
      <c r="C33" s="187"/>
      <c r="D33" s="44"/>
      <c r="E33" s="44"/>
      <c r="F33" s="44"/>
      <c r="G33" s="44"/>
      <c r="H33" s="44">
        <f t="shared" ref="H33:S33" si="26">SUM(H30:H32)</f>
        <v>14604</v>
      </c>
      <c r="I33" s="44">
        <f t="shared" si="26"/>
        <v>21420</v>
      </c>
      <c r="J33" s="44">
        <f t="shared" si="26"/>
        <v>17245.430077983998</v>
      </c>
      <c r="K33" s="44">
        <f t="shared" si="26"/>
        <v>15966.569922016002</v>
      </c>
      <c r="L33" s="44">
        <f t="shared" si="26"/>
        <v>15427</v>
      </c>
      <c r="M33" s="44">
        <f t="shared" si="26"/>
        <v>15399</v>
      </c>
      <c r="N33" s="44">
        <f t="shared" si="26"/>
        <v>10709.66512999999</v>
      </c>
      <c r="O33" s="44">
        <f t="shared" si="26"/>
        <v>13751.33487000001</v>
      </c>
      <c r="P33" s="44">
        <f t="shared" si="26"/>
        <v>17337</v>
      </c>
      <c r="Q33" s="44">
        <f t="shared" si="26"/>
        <v>15082</v>
      </c>
      <c r="R33" s="44">
        <f t="shared" si="26"/>
        <v>16909.234245192398</v>
      </c>
      <c r="S33" s="44">
        <f t="shared" si="26"/>
        <v>12908.765754807602</v>
      </c>
      <c r="T33" s="44">
        <f t="shared" ref="T33:U33" si="27">SUM(T30:T32)</f>
        <v>41354</v>
      </c>
      <c r="U33" s="44">
        <f t="shared" si="27"/>
        <v>9858</v>
      </c>
      <c r="V33" s="44">
        <f t="shared" ref="V33:W33" si="28">SUM(V30:V32)</f>
        <v>13019.28301499999</v>
      </c>
      <c r="W33" s="44">
        <f t="shared" si="28"/>
        <v>-895.28301499999179</v>
      </c>
    </row>
    <row r="34" spans="2:39" s="15" customFormat="1" ht="12" customHeight="1" x14ac:dyDescent="0.2">
      <c r="B34" s="190" t="s">
        <v>13</v>
      </c>
      <c r="C34" s="191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7"/>
      <c r="W34" s="27"/>
      <c r="X34" s="3"/>
      <c r="Y34" s="3"/>
      <c r="Z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</row>
    <row r="35" spans="2:39" ht="12" customHeight="1" x14ac:dyDescent="0.2">
      <c r="B35" s="18"/>
      <c r="C35" s="19" t="s">
        <v>14</v>
      </c>
      <c r="D35" s="9"/>
      <c r="E35" s="9"/>
      <c r="F35" s="9"/>
      <c r="G35" s="9"/>
      <c r="H35" s="9">
        <v>540</v>
      </c>
      <c r="I35" s="14">
        <v>123</v>
      </c>
      <c r="J35" s="14">
        <v>386</v>
      </c>
      <c r="K35" s="9">
        <v>120</v>
      </c>
      <c r="L35" s="14">
        <v>0</v>
      </c>
      <c r="M35" s="14">
        <v>0</v>
      </c>
      <c r="N35" s="14">
        <v>0</v>
      </c>
      <c r="O35" s="9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>
        <v>0</v>
      </c>
      <c r="W35" s="14">
        <v>0</v>
      </c>
    </row>
    <row r="36" spans="2:39" s="15" customFormat="1" ht="12" customHeight="1" x14ac:dyDescent="0.2">
      <c r="B36" s="190" t="s">
        <v>15</v>
      </c>
      <c r="C36" s="191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</row>
    <row r="37" spans="2:39" ht="12" customHeight="1" x14ac:dyDescent="0.2">
      <c r="B37" s="187" t="s">
        <v>16</v>
      </c>
      <c r="C37" s="187"/>
      <c r="D37" s="44"/>
      <c r="E37" s="44"/>
      <c r="F37" s="44"/>
      <c r="G37" s="44"/>
      <c r="H37" s="44">
        <f t="shared" ref="H37:L37" si="29">H33+H35</f>
        <v>15144</v>
      </c>
      <c r="I37" s="44">
        <f t="shared" si="29"/>
        <v>21543</v>
      </c>
      <c r="J37" s="44">
        <f t="shared" si="29"/>
        <v>17631.430077983998</v>
      </c>
      <c r="K37" s="44">
        <f t="shared" si="29"/>
        <v>16086.569922016002</v>
      </c>
      <c r="L37" s="44">
        <f t="shared" si="29"/>
        <v>15427</v>
      </c>
      <c r="M37" s="44">
        <f>M33+M35</f>
        <v>15399</v>
      </c>
      <c r="N37" s="44">
        <f>N33+N35</f>
        <v>10709.66512999999</v>
      </c>
      <c r="O37" s="44">
        <f>O33+O35</f>
        <v>13751.33487000001</v>
      </c>
      <c r="P37" s="44">
        <f>P33+P35</f>
        <v>17337</v>
      </c>
      <c r="Q37" s="44">
        <f t="shared" ref="Q37:S37" si="30">Q33+Q35</f>
        <v>15082</v>
      </c>
      <c r="R37" s="44">
        <f t="shared" si="30"/>
        <v>16909.234245192398</v>
      </c>
      <c r="S37" s="44">
        <f t="shared" si="30"/>
        <v>12908.765754807602</v>
      </c>
      <c r="T37" s="44">
        <f t="shared" ref="T37:U37" si="31">T33+T35</f>
        <v>41354</v>
      </c>
      <c r="U37" s="44">
        <f t="shared" si="31"/>
        <v>9858</v>
      </c>
      <c r="V37" s="44">
        <f t="shared" ref="V37:W37" si="32">V33+V35</f>
        <v>13019.28301499999</v>
      </c>
      <c r="W37" s="44">
        <f t="shared" si="32"/>
        <v>-895.28301499999179</v>
      </c>
    </row>
    <row r="38" spans="2:39" s="15" customFormat="1" ht="12" customHeight="1" x14ac:dyDescent="0.2">
      <c r="B38" s="190"/>
      <c r="C38" s="191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7"/>
      <c r="W38" s="27"/>
      <c r="X38" s="3"/>
      <c r="Y38" s="3"/>
      <c r="Z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</row>
    <row r="39" spans="2:39" ht="12" customHeight="1" x14ac:dyDescent="0.2">
      <c r="B39" s="187" t="s">
        <v>8</v>
      </c>
      <c r="C39" s="187"/>
      <c r="D39" s="44"/>
      <c r="E39" s="44"/>
      <c r="F39" s="44"/>
      <c r="G39" s="44"/>
      <c r="H39" s="44">
        <f t="shared" ref="H39:S39" si="33">H25</f>
        <v>19467</v>
      </c>
      <c r="I39" s="44">
        <f t="shared" si="33"/>
        <v>25211</v>
      </c>
      <c r="J39" s="44">
        <f t="shared" si="33"/>
        <v>23641.048467984001</v>
      </c>
      <c r="K39" s="44">
        <f t="shared" si="33"/>
        <v>22805.951532015999</v>
      </c>
      <c r="L39" s="44">
        <f t="shared" si="33"/>
        <v>21619</v>
      </c>
      <c r="M39" s="44">
        <f t="shared" si="33"/>
        <v>19939</v>
      </c>
      <c r="N39" s="44">
        <f t="shared" si="33"/>
        <v>15218.995629999998</v>
      </c>
      <c r="O39" s="44">
        <f t="shared" si="33"/>
        <v>19640.004370000002</v>
      </c>
      <c r="P39" s="44">
        <f t="shared" si="33"/>
        <v>20384</v>
      </c>
      <c r="Q39" s="44">
        <f t="shared" si="33"/>
        <v>20026</v>
      </c>
      <c r="R39" s="44">
        <f t="shared" si="33"/>
        <v>19764.102977401999</v>
      </c>
      <c r="S39" s="44">
        <f t="shared" si="33"/>
        <v>18416.897022598005</v>
      </c>
      <c r="T39" s="44">
        <f t="shared" ref="T39:U39" si="34">T25</f>
        <v>56414</v>
      </c>
      <c r="U39" s="44">
        <f t="shared" si="34"/>
        <v>16205</v>
      </c>
      <c r="V39" s="44">
        <f t="shared" ref="V39:W39" si="35">V25</f>
        <v>16949.906500000001</v>
      </c>
      <c r="W39" s="44">
        <f t="shared" si="35"/>
        <v>5232.0934999999972</v>
      </c>
    </row>
    <row r="40" spans="2:39" ht="12" customHeight="1" x14ac:dyDescent="0.2">
      <c r="B40" s="11"/>
      <c r="C40" s="12" t="s">
        <v>22</v>
      </c>
      <c r="D40" s="9"/>
      <c r="E40" s="9"/>
      <c r="F40" s="9"/>
      <c r="G40" s="9"/>
      <c r="H40" s="9">
        <v>10037</v>
      </c>
      <c r="I40" s="14">
        <v>10339</v>
      </c>
      <c r="J40" s="14">
        <v>10560</v>
      </c>
      <c r="K40" s="9">
        <v>10846</v>
      </c>
      <c r="L40" s="14">
        <v>11696</v>
      </c>
      <c r="M40" s="14">
        <v>12975</v>
      </c>
      <c r="N40" s="14">
        <v>12361</v>
      </c>
      <c r="O40" s="9">
        <v>12839</v>
      </c>
      <c r="P40" s="14">
        <v>12789</v>
      </c>
      <c r="Q40" s="14">
        <v>12981</v>
      </c>
      <c r="R40" s="14">
        <v>13719</v>
      </c>
      <c r="S40" s="14">
        <v>13020</v>
      </c>
      <c r="T40" s="10">
        <v>13569</v>
      </c>
      <c r="U40" s="10">
        <v>13735</v>
      </c>
      <c r="V40" s="10">
        <v>14163</v>
      </c>
      <c r="W40" s="10">
        <v>14305</v>
      </c>
    </row>
    <row r="41" spans="2:39" ht="12" customHeight="1" x14ac:dyDescent="0.2">
      <c r="B41" s="187" t="s">
        <v>23</v>
      </c>
      <c r="C41" s="187"/>
      <c r="D41" s="44"/>
      <c r="E41" s="44"/>
      <c r="F41" s="44"/>
      <c r="G41" s="44"/>
      <c r="H41" s="44">
        <f t="shared" ref="H41:S41" si="36">SUM(H39:H40)</f>
        <v>29504</v>
      </c>
      <c r="I41" s="44">
        <f t="shared" si="36"/>
        <v>35550</v>
      </c>
      <c r="J41" s="44">
        <f t="shared" si="36"/>
        <v>34201.048467984001</v>
      </c>
      <c r="K41" s="44">
        <f t="shared" si="36"/>
        <v>33651.951532015999</v>
      </c>
      <c r="L41" s="44">
        <f t="shared" si="36"/>
        <v>33315</v>
      </c>
      <c r="M41" s="44">
        <f t="shared" si="36"/>
        <v>32914</v>
      </c>
      <c r="N41" s="44">
        <f t="shared" si="36"/>
        <v>27579.995629999998</v>
      </c>
      <c r="O41" s="44">
        <f t="shared" si="36"/>
        <v>32479.004370000002</v>
      </c>
      <c r="P41" s="44">
        <f t="shared" si="36"/>
        <v>33173</v>
      </c>
      <c r="Q41" s="44">
        <f t="shared" si="36"/>
        <v>33007</v>
      </c>
      <c r="R41" s="44">
        <f t="shared" si="36"/>
        <v>33483.102977401999</v>
      </c>
      <c r="S41" s="44">
        <f t="shared" si="36"/>
        <v>31436.897022598005</v>
      </c>
      <c r="T41" s="44">
        <f t="shared" ref="T41:U41" si="37">SUM(T39:T40)</f>
        <v>69983</v>
      </c>
      <c r="U41" s="44">
        <f t="shared" si="37"/>
        <v>29940</v>
      </c>
      <c r="V41" s="44">
        <f t="shared" ref="V41:W41" si="38">SUM(V39:V40)</f>
        <v>31112.906500000001</v>
      </c>
      <c r="W41" s="44">
        <f t="shared" si="38"/>
        <v>19537.093499999995</v>
      </c>
    </row>
    <row r="42" spans="2:39" ht="12" customHeight="1" x14ac:dyDescent="0.2">
      <c r="B42" s="11" t="s">
        <v>230</v>
      </c>
      <c r="C42" s="12"/>
      <c r="D42" s="9"/>
      <c r="E42" s="9"/>
      <c r="F42" s="9"/>
      <c r="G42" s="9"/>
      <c r="H42" s="105">
        <f t="shared" ref="H42:R42" si="39">H41/H10</f>
        <v>0.16189906550261474</v>
      </c>
      <c r="I42" s="105">
        <f t="shared" si="39"/>
        <v>0.1757299838358074</v>
      </c>
      <c r="J42" s="105">
        <f t="shared" si="39"/>
        <v>0.16916389336068891</v>
      </c>
      <c r="K42" s="105">
        <f t="shared" si="39"/>
        <v>0.13958310637157231</v>
      </c>
      <c r="L42" s="105">
        <f t="shared" si="39"/>
        <v>0.15679196532363199</v>
      </c>
      <c r="M42" s="105">
        <f t="shared" si="39"/>
        <v>0.15615185357383457</v>
      </c>
      <c r="N42" s="105">
        <f t="shared" si="39"/>
        <v>0.12508218159141929</v>
      </c>
      <c r="O42" s="105">
        <f t="shared" si="39"/>
        <v>0.13889591625790615</v>
      </c>
      <c r="P42" s="105">
        <f t="shared" si="39"/>
        <v>0.14774022873837603</v>
      </c>
      <c r="Q42" s="105">
        <f t="shared" si="39"/>
        <v>0.13903069820730557</v>
      </c>
      <c r="R42" s="105">
        <f t="shared" si="39"/>
        <v>0.13715500592891375</v>
      </c>
      <c r="S42" s="105">
        <f t="shared" ref="S42:T42" si="40">S41/S10</f>
        <v>0.13741103690269257</v>
      </c>
      <c r="T42" s="105">
        <f t="shared" si="40"/>
        <v>0.31173106219209079</v>
      </c>
      <c r="U42" s="105">
        <f t="shared" ref="U42:V42" si="41">U41/U10</f>
        <v>0.12610669789148254</v>
      </c>
      <c r="V42" s="108">
        <f t="shared" si="41"/>
        <v>0.12956369099177134</v>
      </c>
      <c r="W42" s="108">
        <f t="shared" ref="W42" si="42">W41/W10</f>
        <v>8.2077937327490941E-2</v>
      </c>
    </row>
    <row r="43" spans="2:39" ht="12" customHeight="1" x14ac:dyDescent="0.2">
      <c r="B43" s="11"/>
      <c r="C43" s="12" t="s">
        <v>256</v>
      </c>
      <c r="D43" s="9"/>
      <c r="E43" s="9"/>
      <c r="F43" s="9"/>
      <c r="G43" s="9"/>
      <c r="H43" s="110">
        <f t="shared" ref="H43:R43" si="43">H60/H77*1000</f>
        <v>0.48629092702931653</v>
      </c>
      <c r="I43" s="110">
        <f t="shared" si="43"/>
        <v>0.68601449996984343</v>
      </c>
      <c r="J43" s="110">
        <f t="shared" si="43"/>
        <v>0.57858864395856124</v>
      </c>
      <c r="K43" s="110">
        <f t="shared" si="43"/>
        <v>0.5507330578642875</v>
      </c>
      <c r="L43" s="110">
        <f t="shared" si="43"/>
        <v>0.51925168977184322</v>
      </c>
      <c r="M43" s="110">
        <f t="shared" si="43"/>
        <v>0.50184838239823248</v>
      </c>
      <c r="N43" s="110">
        <f t="shared" si="43"/>
        <v>0.49119321996232679</v>
      </c>
      <c r="O43" s="110">
        <f t="shared" si="43"/>
        <v>0.31318925552976346</v>
      </c>
      <c r="P43" s="110">
        <f t="shared" si="43"/>
        <v>0.57807041665457937</v>
      </c>
      <c r="Q43" s="110">
        <f t="shared" si="43"/>
        <v>0.49119492186761721</v>
      </c>
      <c r="R43" s="110">
        <f t="shared" si="43"/>
        <v>0.5710843290881007</v>
      </c>
      <c r="S43" s="110">
        <f t="shared" ref="S43:T43" si="44">S60/S77*1000</f>
        <v>0.42207023106638952</v>
      </c>
      <c r="T43" s="110">
        <f t="shared" si="44"/>
        <v>1.3835608479392549</v>
      </c>
      <c r="U43" s="110">
        <f t="shared" ref="U43:V43" si="45">U60/U77*1000</f>
        <v>0.31285570314067207</v>
      </c>
      <c r="V43" s="110">
        <f t="shared" si="45"/>
        <v>0.4685940100112444</v>
      </c>
      <c r="W43" s="110">
        <f t="shared" ref="W43" si="46">W60/W77*1000</f>
        <v>-3.3757594632516444E-2</v>
      </c>
    </row>
    <row r="44" spans="2:39" ht="12" customHeight="1" x14ac:dyDescent="0.2">
      <c r="H44" s="109" t="s">
        <v>257</v>
      </c>
    </row>
    <row r="45" spans="2:39" s="15" customFormat="1" ht="12" customHeight="1" x14ac:dyDescent="0.2">
      <c r="B45" s="192"/>
      <c r="C45" s="192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126"/>
      <c r="X45" s="3"/>
      <c r="Y45" s="3"/>
      <c r="Z45" s="3"/>
      <c r="AC45" s="3"/>
    </row>
    <row r="46" spans="2:39" s="15" customFormat="1" ht="12" customHeight="1" x14ac:dyDescent="0.2">
      <c r="B46" s="127"/>
      <c r="C46" s="127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128"/>
      <c r="U46" s="128"/>
      <c r="V46" s="128"/>
      <c r="W46" s="128"/>
      <c r="X46" s="3"/>
      <c r="Y46" s="3"/>
      <c r="Z46" s="3"/>
      <c r="AC46" s="3"/>
    </row>
    <row r="47" spans="2:39" ht="12" customHeight="1" x14ac:dyDescent="0.2">
      <c r="B47" s="190" t="s">
        <v>38</v>
      </c>
      <c r="C47" s="191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</row>
    <row r="48" spans="2:39" ht="12" customHeight="1" x14ac:dyDescent="0.2">
      <c r="B48" s="187" t="s">
        <v>39</v>
      </c>
      <c r="C48" s="187"/>
      <c r="D48" s="44"/>
      <c r="E48" s="44"/>
      <c r="F48" s="44"/>
      <c r="G48" s="44"/>
      <c r="H48" s="44">
        <f t="shared" ref="H48:K48" si="47">SUM(H50:H53)+SUM(H55:H57)</f>
        <v>-108</v>
      </c>
      <c r="I48" s="44">
        <f t="shared" si="47"/>
        <v>-1587</v>
      </c>
      <c r="J48" s="44">
        <f t="shared" si="47"/>
        <v>1592</v>
      </c>
      <c r="K48" s="44">
        <f t="shared" si="47"/>
        <v>-1563</v>
      </c>
      <c r="L48" s="44">
        <f>SUM(L50:L53)+SUM(L55:L57)</f>
        <v>1393</v>
      </c>
      <c r="M48" s="44">
        <f t="shared" ref="M48:V48" si="48">SUM(M50:M53)+SUM(M55:M57)</f>
        <v>-375</v>
      </c>
      <c r="N48" s="44">
        <f t="shared" si="48"/>
        <v>-197</v>
      </c>
      <c r="O48" s="44">
        <f t="shared" si="48"/>
        <v>2668</v>
      </c>
      <c r="P48" s="44">
        <f t="shared" si="48"/>
        <v>-4822</v>
      </c>
      <c r="Q48" s="44">
        <f t="shared" si="48"/>
        <v>572</v>
      </c>
      <c r="R48" s="44">
        <f t="shared" si="48"/>
        <v>-1886</v>
      </c>
      <c r="S48" s="44">
        <f t="shared" si="48"/>
        <v>3492</v>
      </c>
      <c r="T48" s="44">
        <f t="shared" si="48"/>
        <v>2535</v>
      </c>
      <c r="U48" s="44">
        <f t="shared" si="48"/>
        <v>3164</v>
      </c>
      <c r="V48" s="44">
        <f t="shared" si="48"/>
        <v>-1194.1523099999995</v>
      </c>
      <c r="W48" s="44">
        <f t="shared" ref="W48" si="49">SUM(W50:W53)+SUM(W55:W57)</f>
        <v>1368.1523100000002</v>
      </c>
    </row>
    <row r="49" spans="2:24" ht="12" customHeight="1" x14ac:dyDescent="0.2">
      <c r="B49" s="122"/>
      <c r="C49" s="23" t="s">
        <v>40</v>
      </c>
      <c r="D49" s="9"/>
      <c r="E49" s="9"/>
      <c r="F49" s="9"/>
      <c r="G49" s="9"/>
      <c r="H49" s="9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</row>
    <row r="50" spans="2:24" ht="12" customHeight="1" x14ac:dyDescent="0.2">
      <c r="B50" s="18"/>
      <c r="C50" s="19" t="s">
        <v>17</v>
      </c>
      <c r="D50" s="9"/>
      <c r="E50" s="9"/>
      <c r="F50" s="9"/>
      <c r="G50" s="9"/>
      <c r="H50" s="9">
        <v>870</v>
      </c>
      <c r="I50" s="14">
        <v>2290</v>
      </c>
      <c r="J50" s="14">
        <v>-1435</v>
      </c>
      <c r="K50" s="9">
        <v>-121</v>
      </c>
      <c r="L50" s="14">
        <v>1344</v>
      </c>
      <c r="M50" s="14">
        <v>-1712</v>
      </c>
      <c r="N50" s="14">
        <v>2513</v>
      </c>
      <c r="O50" s="9">
        <v>-603</v>
      </c>
      <c r="P50" s="14">
        <v>2945</v>
      </c>
      <c r="Q50" s="14">
        <v>-2301</v>
      </c>
      <c r="R50" s="14">
        <v>-131</v>
      </c>
      <c r="S50" s="14">
        <v>4921</v>
      </c>
      <c r="T50" s="14">
        <v>2663</v>
      </c>
      <c r="U50" s="14">
        <v>-2291</v>
      </c>
      <c r="V50" s="14">
        <v>2148</v>
      </c>
      <c r="W50" s="14">
        <v>441.00000000000034</v>
      </c>
      <c r="X50" s="166"/>
    </row>
    <row r="51" spans="2:24" ht="12" customHeight="1" x14ac:dyDescent="0.2">
      <c r="B51" s="18"/>
      <c r="C51" s="19" t="s">
        <v>29</v>
      </c>
      <c r="D51" s="9"/>
      <c r="E51" s="9"/>
      <c r="F51" s="9"/>
      <c r="G51" s="9"/>
      <c r="H51" s="9">
        <v>0</v>
      </c>
      <c r="I51" s="14">
        <v>0</v>
      </c>
      <c r="J51" s="14">
        <v>0</v>
      </c>
      <c r="K51" s="9">
        <v>0</v>
      </c>
      <c r="L51" s="14">
        <v>0</v>
      </c>
      <c r="M51" s="14">
        <v>0</v>
      </c>
      <c r="N51" s="14">
        <v>0</v>
      </c>
      <c r="O51" s="9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/>
      <c r="W51" s="14"/>
    </row>
    <row r="52" spans="2:24" ht="12" customHeight="1" x14ac:dyDescent="0.2">
      <c r="B52" s="18"/>
      <c r="C52" s="19" t="s">
        <v>18</v>
      </c>
      <c r="D52" s="9"/>
      <c r="E52" s="9"/>
      <c r="F52" s="9"/>
      <c r="G52" s="9"/>
      <c r="H52" s="9">
        <v>-978</v>
      </c>
      <c r="I52" s="14">
        <v>-3877</v>
      </c>
      <c r="J52" s="14">
        <v>3027</v>
      </c>
      <c r="K52" s="9">
        <v>-975</v>
      </c>
      <c r="L52" s="14">
        <v>49</v>
      </c>
      <c r="M52" s="14">
        <v>1337</v>
      </c>
      <c r="N52" s="14">
        <v>-2710</v>
      </c>
      <c r="O52" s="9">
        <v>3347</v>
      </c>
      <c r="P52" s="14">
        <v>-7767</v>
      </c>
      <c r="Q52" s="14">
        <v>2873</v>
      </c>
      <c r="R52" s="14">
        <v>-1755</v>
      </c>
      <c r="S52" s="14">
        <v>-1446</v>
      </c>
      <c r="T52" s="14">
        <v>-128</v>
      </c>
      <c r="U52" s="14">
        <v>5455</v>
      </c>
      <c r="V52" s="14">
        <v>-3342.1523099999995</v>
      </c>
      <c r="W52" s="14">
        <v>760.15230999999983</v>
      </c>
    </row>
    <row r="53" spans="2:24" ht="12" customHeight="1" x14ac:dyDescent="0.2">
      <c r="B53" s="18"/>
      <c r="C53" s="19" t="s">
        <v>30</v>
      </c>
      <c r="D53" s="9"/>
      <c r="E53" s="9"/>
      <c r="F53" s="9"/>
      <c r="G53" s="9"/>
      <c r="H53" s="9">
        <v>0</v>
      </c>
      <c r="I53" s="7">
        <v>0</v>
      </c>
      <c r="J53" s="7">
        <v>0</v>
      </c>
      <c r="K53" s="9">
        <v>0</v>
      </c>
      <c r="L53" s="7"/>
      <c r="M53" s="7">
        <v>0</v>
      </c>
      <c r="N53" s="7">
        <v>0</v>
      </c>
      <c r="O53" s="9">
        <v>0</v>
      </c>
      <c r="P53" s="7"/>
      <c r="Q53" s="7">
        <v>0</v>
      </c>
      <c r="R53" s="7">
        <v>0</v>
      </c>
      <c r="S53" s="7">
        <v>0</v>
      </c>
      <c r="T53" s="7"/>
      <c r="U53" s="7"/>
      <c r="V53" s="7"/>
      <c r="W53" s="7"/>
    </row>
    <row r="54" spans="2:24" ht="12" customHeight="1" x14ac:dyDescent="0.2">
      <c r="B54" s="18"/>
      <c r="C54" s="23" t="s">
        <v>41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>
        <v>0</v>
      </c>
      <c r="T54" s="7"/>
      <c r="U54" s="7"/>
      <c r="V54" s="7"/>
      <c r="W54" s="7"/>
    </row>
    <row r="55" spans="2:24" ht="12" customHeight="1" x14ac:dyDescent="0.2">
      <c r="B55" s="18"/>
      <c r="C55" s="19" t="s">
        <v>42</v>
      </c>
      <c r="D55" s="9"/>
      <c r="E55" s="9"/>
      <c r="F55" s="9"/>
      <c r="G55" s="9"/>
      <c r="H55" s="9">
        <v>0</v>
      </c>
      <c r="I55" s="14">
        <v>0</v>
      </c>
      <c r="J55" s="14">
        <v>0</v>
      </c>
      <c r="K55" s="9">
        <v>-467</v>
      </c>
      <c r="L55" s="14">
        <v>0</v>
      </c>
      <c r="M55" s="14">
        <v>0</v>
      </c>
      <c r="N55" s="14">
        <v>0</v>
      </c>
      <c r="O55" s="9">
        <v>-76</v>
      </c>
      <c r="P55" s="14">
        <v>0</v>
      </c>
      <c r="Q55" s="14">
        <v>0</v>
      </c>
      <c r="R55" s="14">
        <v>0</v>
      </c>
      <c r="S55" s="14">
        <v>17</v>
      </c>
      <c r="T55" s="14"/>
      <c r="U55" s="14"/>
      <c r="V55" s="14"/>
      <c r="W55" s="14">
        <v>167</v>
      </c>
    </row>
    <row r="56" spans="2:24" ht="12" customHeight="1" x14ac:dyDescent="0.2">
      <c r="B56" s="18"/>
      <c r="C56" s="19" t="s">
        <v>31</v>
      </c>
      <c r="D56" s="9"/>
      <c r="E56" s="9"/>
      <c r="F56" s="9"/>
      <c r="G56" s="9"/>
      <c r="H56" s="9">
        <v>0</v>
      </c>
      <c r="I56" s="14">
        <v>0</v>
      </c>
      <c r="J56" s="14">
        <v>0</v>
      </c>
      <c r="K56" s="9">
        <v>0</v>
      </c>
      <c r="L56" s="14">
        <v>0</v>
      </c>
      <c r="M56" s="14">
        <v>0</v>
      </c>
      <c r="N56" s="14">
        <v>0</v>
      </c>
      <c r="O56" s="9">
        <v>0</v>
      </c>
      <c r="P56" s="14">
        <v>0</v>
      </c>
      <c r="Q56" s="14">
        <v>0</v>
      </c>
      <c r="R56" s="14">
        <v>0</v>
      </c>
      <c r="S56" s="14">
        <v>0</v>
      </c>
      <c r="T56" s="14"/>
      <c r="U56" s="14"/>
      <c r="V56" s="14"/>
      <c r="W56" s="14"/>
    </row>
    <row r="57" spans="2:24" ht="12" customHeight="1" x14ac:dyDescent="0.2">
      <c r="B57" s="18"/>
      <c r="C57" s="19" t="s">
        <v>32</v>
      </c>
      <c r="D57" s="9"/>
      <c r="E57" s="9"/>
      <c r="F57" s="9"/>
      <c r="G57" s="9"/>
      <c r="H57" s="9">
        <v>0</v>
      </c>
      <c r="I57" s="7">
        <v>0</v>
      </c>
      <c r="J57" s="7">
        <v>0</v>
      </c>
      <c r="K57" s="9">
        <v>0</v>
      </c>
      <c r="L57" s="7">
        <v>0</v>
      </c>
      <c r="M57" s="7">
        <v>0</v>
      </c>
      <c r="N57" s="7">
        <v>0</v>
      </c>
      <c r="O57" s="9">
        <v>0</v>
      </c>
      <c r="P57" s="7">
        <v>0</v>
      </c>
      <c r="Q57" s="7">
        <v>0</v>
      </c>
      <c r="R57" s="7">
        <v>0</v>
      </c>
      <c r="S57" s="7">
        <v>0</v>
      </c>
      <c r="T57" s="7"/>
      <c r="U57" s="7"/>
      <c r="V57" s="7"/>
      <c r="W57" s="7"/>
    </row>
    <row r="58" spans="2:24" ht="12" customHeight="1" x14ac:dyDescent="0.2">
      <c r="B58" s="187" t="s">
        <v>19</v>
      </c>
      <c r="C58" s="187"/>
      <c r="D58" s="44"/>
      <c r="E58" s="44"/>
      <c r="F58" s="44"/>
      <c r="G58" s="44"/>
      <c r="H58" s="44">
        <f t="shared" ref="H58:R58" si="50">H37+H48</f>
        <v>15036</v>
      </c>
      <c r="I58" s="44">
        <f t="shared" si="50"/>
        <v>19956</v>
      </c>
      <c r="J58" s="44">
        <f t="shared" si="50"/>
        <v>19223.430077983998</v>
      </c>
      <c r="K58" s="44">
        <f t="shared" si="50"/>
        <v>14523.569922016002</v>
      </c>
      <c r="L58" s="44">
        <f t="shared" si="50"/>
        <v>16820</v>
      </c>
      <c r="M58" s="44">
        <f t="shared" si="50"/>
        <v>15024</v>
      </c>
      <c r="N58" s="44">
        <f t="shared" si="50"/>
        <v>10512.66512999999</v>
      </c>
      <c r="O58" s="44">
        <f t="shared" si="50"/>
        <v>16419.33487000001</v>
      </c>
      <c r="P58" s="44">
        <f t="shared" si="50"/>
        <v>12515</v>
      </c>
      <c r="Q58" s="44">
        <f t="shared" si="50"/>
        <v>15654</v>
      </c>
      <c r="R58" s="44">
        <f t="shared" si="50"/>
        <v>15023.234245192398</v>
      </c>
      <c r="S58" s="44">
        <f t="shared" ref="S58:T58" si="51">S37+S48</f>
        <v>16400.765754807602</v>
      </c>
      <c r="T58" s="44">
        <f t="shared" si="51"/>
        <v>43889</v>
      </c>
      <c r="U58" s="44">
        <f t="shared" ref="U58:V58" si="52">U37+U48</f>
        <v>13022</v>
      </c>
      <c r="V58" s="44">
        <f t="shared" si="52"/>
        <v>11825.13070499999</v>
      </c>
      <c r="W58" s="44">
        <f t="shared" ref="W58" si="53">W37+W48</f>
        <v>472.86929500000838</v>
      </c>
    </row>
    <row r="59" spans="2:24" ht="12" customHeight="1" x14ac:dyDescent="0.2">
      <c r="B59" s="187" t="s">
        <v>20</v>
      </c>
      <c r="C59" s="187"/>
      <c r="D59" s="44"/>
      <c r="E59" s="44"/>
      <c r="F59" s="44"/>
      <c r="G59" s="44"/>
      <c r="H59" s="44">
        <f t="shared" ref="H59" si="54">SUM(H60:H61)</f>
        <v>15144</v>
      </c>
      <c r="I59" s="44">
        <f t="shared" ref="I59:O59" si="55">SUM(I60:I61)</f>
        <v>21543</v>
      </c>
      <c r="J59" s="44">
        <f t="shared" si="55"/>
        <v>17632</v>
      </c>
      <c r="K59" s="44">
        <f t="shared" si="55"/>
        <v>16086</v>
      </c>
      <c r="L59" s="44">
        <f t="shared" si="55"/>
        <v>15427</v>
      </c>
      <c r="M59" s="44">
        <f t="shared" si="55"/>
        <v>15399</v>
      </c>
      <c r="N59" s="44">
        <f t="shared" si="55"/>
        <v>14534</v>
      </c>
      <c r="O59" s="44">
        <f t="shared" si="55"/>
        <v>9927</v>
      </c>
      <c r="P59" s="44">
        <f>SUM(P60:P61)</f>
        <v>17337</v>
      </c>
      <c r="Q59" s="44">
        <f t="shared" ref="Q59:R59" si="56">SUM(Q60:Q61)</f>
        <v>15082</v>
      </c>
      <c r="R59" s="44">
        <f t="shared" si="56"/>
        <v>16909</v>
      </c>
      <c r="S59" s="44">
        <f t="shared" ref="S59:T59" si="57">SUM(S60:S61)</f>
        <v>12909</v>
      </c>
      <c r="T59" s="44">
        <f t="shared" si="57"/>
        <v>41354</v>
      </c>
      <c r="U59" s="44">
        <f t="shared" ref="U59:V59" si="58">SUM(U60:U61)</f>
        <v>9858</v>
      </c>
      <c r="V59" s="44">
        <f t="shared" si="58"/>
        <v>13019</v>
      </c>
      <c r="W59" s="44">
        <f t="shared" ref="W59" si="59">SUM(W60:W61)</f>
        <v>-895.00000000000023</v>
      </c>
    </row>
    <row r="60" spans="2:24" ht="12" customHeight="1" x14ac:dyDescent="0.2">
      <c r="B60" s="18"/>
      <c r="C60" s="19" t="s">
        <v>43</v>
      </c>
      <c r="D60" s="9"/>
      <c r="E60" s="9"/>
      <c r="F60" s="9"/>
      <c r="G60" s="9"/>
      <c r="H60" s="9">
        <v>14349</v>
      </c>
      <c r="I60" s="14">
        <v>20241</v>
      </c>
      <c r="J60" s="14">
        <v>17031</v>
      </c>
      <c r="K60" s="9">
        <v>16167</v>
      </c>
      <c r="L60" s="14">
        <v>15210</v>
      </c>
      <c r="M60" s="14">
        <v>14685</v>
      </c>
      <c r="N60" s="14">
        <v>14364</v>
      </c>
      <c r="O60" s="9">
        <v>9151</v>
      </c>
      <c r="P60" s="14">
        <v>16886</v>
      </c>
      <c r="Q60" s="14">
        <v>14346</v>
      </c>
      <c r="R60" s="14">
        <v>16679</v>
      </c>
      <c r="S60" s="14">
        <v>12323</v>
      </c>
      <c r="T60" s="14">
        <v>40382</v>
      </c>
      <c r="U60" s="14">
        <v>9130</v>
      </c>
      <c r="V60" s="14">
        <v>13674</v>
      </c>
      <c r="W60" s="14">
        <v>-985.00000000000023</v>
      </c>
    </row>
    <row r="61" spans="2:24" ht="12" customHeight="1" x14ac:dyDescent="0.2">
      <c r="B61" s="18"/>
      <c r="C61" s="19" t="s">
        <v>44</v>
      </c>
      <c r="D61" s="9"/>
      <c r="E61" s="9"/>
      <c r="F61" s="9"/>
      <c r="G61" s="9"/>
      <c r="H61" s="9">
        <v>795</v>
      </c>
      <c r="I61" s="14">
        <v>1302</v>
      </c>
      <c r="J61" s="14">
        <v>601</v>
      </c>
      <c r="K61" s="9">
        <v>-81</v>
      </c>
      <c r="L61" s="14">
        <v>217</v>
      </c>
      <c r="M61" s="14">
        <v>714</v>
      </c>
      <c r="N61" s="14">
        <v>170</v>
      </c>
      <c r="O61" s="9">
        <v>776</v>
      </c>
      <c r="P61" s="14">
        <v>451</v>
      </c>
      <c r="Q61" s="14">
        <v>736</v>
      </c>
      <c r="R61" s="14">
        <v>230</v>
      </c>
      <c r="S61" s="14">
        <v>586</v>
      </c>
      <c r="T61" s="14">
        <v>972</v>
      </c>
      <c r="U61" s="14">
        <v>728</v>
      </c>
      <c r="V61" s="14">
        <v>-655</v>
      </c>
      <c r="W61" s="14">
        <v>90.000000000000028</v>
      </c>
    </row>
    <row r="62" spans="2:24" ht="12" customHeight="1" x14ac:dyDescent="0.2">
      <c r="B62" s="187" t="s">
        <v>21</v>
      </c>
      <c r="C62" s="187"/>
      <c r="D62" s="44"/>
      <c r="E62" s="44"/>
      <c r="F62" s="44"/>
      <c r="G62" s="44"/>
      <c r="H62" s="44">
        <f t="shared" ref="H62:O62" si="60">SUM(H63:H64)</f>
        <v>15036</v>
      </c>
      <c r="I62" s="44">
        <f t="shared" si="60"/>
        <v>19956</v>
      </c>
      <c r="J62" s="44">
        <f t="shared" si="60"/>
        <v>19224</v>
      </c>
      <c r="K62" s="44">
        <f t="shared" si="60"/>
        <v>14523</v>
      </c>
      <c r="L62" s="44">
        <f t="shared" si="60"/>
        <v>16820</v>
      </c>
      <c r="M62" s="44">
        <f t="shared" si="60"/>
        <v>15024</v>
      </c>
      <c r="N62" s="44">
        <f t="shared" si="60"/>
        <v>14337</v>
      </c>
      <c r="O62" s="44">
        <f t="shared" si="60"/>
        <v>12595</v>
      </c>
      <c r="P62" s="44">
        <f>SUM(P63:P64)</f>
        <v>12515</v>
      </c>
      <c r="Q62" s="44">
        <f t="shared" ref="Q62:V62" si="61">SUM(Q63:Q64)</f>
        <v>15654</v>
      </c>
      <c r="R62" s="44">
        <f t="shared" si="61"/>
        <v>15023</v>
      </c>
      <c r="S62" s="44">
        <f t="shared" si="61"/>
        <v>16401</v>
      </c>
      <c r="T62" s="44">
        <f t="shared" si="61"/>
        <v>43889</v>
      </c>
      <c r="U62" s="44">
        <f t="shared" si="61"/>
        <v>13022</v>
      </c>
      <c r="V62" s="44">
        <f t="shared" si="61"/>
        <v>11825</v>
      </c>
      <c r="W62" s="44">
        <f t="shared" ref="W62" si="62">SUM(W63:W64)</f>
        <v>473.00000000000091</v>
      </c>
    </row>
    <row r="63" spans="2:24" ht="12" customHeight="1" x14ac:dyDescent="0.2">
      <c r="B63" s="18"/>
      <c r="C63" s="19" t="s">
        <v>43</v>
      </c>
      <c r="D63" s="9"/>
      <c r="E63" s="9"/>
      <c r="F63" s="9"/>
      <c r="G63" s="9"/>
      <c r="H63" s="9">
        <v>14214</v>
      </c>
      <c r="I63" s="14">
        <v>18639</v>
      </c>
      <c r="J63" s="14">
        <v>18642</v>
      </c>
      <c r="K63" s="9">
        <v>14595</v>
      </c>
      <c r="L63" s="14">
        <v>16609</v>
      </c>
      <c r="M63" s="14">
        <v>14306</v>
      </c>
      <c r="N63" s="14">
        <v>14135</v>
      </c>
      <c r="O63" s="9">
        <v>11882</v>
      </c>
      <c r="P63" s="14">
        <v>12064</v>
      </c>
      <c r="Q63" s="14">
        <v>14918</v>
      </c>
      <c r="R63" s="14">
        <v>14793</v>
      </c>
      <c r="S63" s="14">
        <v>15815</v>
      </c>
      <c r="T63" s="14">
        <v>42917</v>
      </c>
      <c r="U63" s="14">
        <v>12294</v>
      </c>
      <c r="V63" s="14">
        <v>12480</v>
      </c>
      <c r="W63" s="14">
        <v>383.00000000000091</v>
      </c>
    </row>
    <row r="64" spans="2:24" ht="12" customHeight="1" x14ac:dyDescent="0.2">
      <c r="B64" s="18"/>
      <c r="C64" s="19" t="s">
        <v>44</v>
      </c>
      <c r="D64" s="9"/>
      <c r="E64" s="9"/>
      <c r="F64" s="9"/>
      <c r="G64" s="9"/>
      <c r="H64" s="9">
        <v>822</v>
      </c>
      <c r="I64" s="14">
        <v>1317</v>
      </c>
      <c r="J64" s="14">
        <v>582</v>
      </c>
      <c r="K64" s="9">
        <v>-72</v>
      </c>
      <c r="L64" s="14">
        <v>211</v>
      </c>
      <c r="M64" s="14">
        <v>718</v>
      </c>
      <c r="N64" s="14">
        <v>202</v>
      </c>
      <c r="O64" s="9">
        <v>713</v>
      </c>
      <c r="P64" s="14">
        <v>451</v>
      </c>
      <c r="Q64" s="14">
        <v>736</v>
      </c>
      <c r="R64" s="14">
        <v>230</v>
      </c>
      <c r="S64" s="14">
        <v>586</v>
      </c>
      <c r="T64" s="14">
        <v>972</v>
      </c>
      <c r="U64" s="14">
        <v>728</v>
      </c>
      <c r="V64" s="14">
        <v>-655</v>
      </c>
      <c r="W64" s="14">
        <v>90.000000000000028</v>
      </c>
    </row>
    <row r="65" spans="2:23" ht="12" customHeight="1" x14ac:dyDescent="0.2">
      <c r="B65" s="1"/>
      <c r="C65" s="2"/>
    </row>
    <row r="66" spans="2:23" ht="12" customHeight="1" x14ac:dyDescent="0.2">
      <c r="B66" s="1"/>
      <c r="C66" s="2"/>
    </row>
    <row r="67" spans="2:23" ht="12" customHeight="1" x14ac:dyDescent="0.2">
      <c r="C67" s="3"/>
    </row>
    <row r="68" spans="2:23" ht="12" customHeight="1" x14ac:dyDescent="0.2">
      <c r="C68" s="3"/>
    </row>
    <row r="69" spans="2:23" ht="12" customHeight="1" x14ac:dyDescent="0.2">
      <c r="C69" s="3"/>
    </row>
    <row r="70" spans="2:23" ht="12" customHeight="1" x14ac:dyDescent="0.2">
      <c r="C70" s="3"/>
    </row>
    <row r="71" spans="2:23" ht="12" customHeight="1" x14ac:dyDescent="0.2">
      <c r="C71" s="3"/>
    </row>
    <row r="72" spans="2:23" ht="12" customHeight="1" x14ac:dyDescent="0.2">
      <c r="C72" s="3"/>
    </row>
    <row r="74" spans="2:23" ht="12" hidden="1" customHeight="1" outlineLevel="1" x14ac:dyDescent="0.2">
      <c r="C74" s="115" t="s">
        <v>272</v>
      </c>
      <c r="H74" s="3">
        <v>29507028</v>
      </c>
      <c r="I74" s="3">
        <v>29496428</v>
      </c>
      <c r="J74" s="3">
        <v>29482284.838827834</v>
      </c>
      <c r="K74" s="3">
        <v>29450307.846575346</v>
      </c>
      <c r="L74" s="3">
        <v>29419021.635164827</v>
      </c>
      <c r="M74" s="3">
        <v>29392824</v>
      </c>
      <c r="N74" s="3">
        <v>29279552.992163006</v>
      </c>
      <c r="O74" s="3">
        <v>29253721.175342459</v>
      </c>
      <c r="P74" s="3">
        <v>29210974.15384616</v>
      </c>
      <c r="Q74" s="3">
        <v>29208651.07692308</v>
      </c>
      <c r="R74" s="3">
        <v>29207708.656934306</v>
      </c>
      <c r="S74" s="3">
        <v>29204906.961748611</v>
      </c>
      <c r="T74" s="3">
        <v>29187006.888888899</v>
      </c>
      <c r="U74" s="3">
        <v>29182782.696132593</v>
      </c>
      <c r="V74" s="3">
        <v>29180910.783882786</v>
      </c>
      <c r="W74" s="3">
        <v>29178619.232876718</v>
      </c>
    </row>
    <row r="75" spans="2:23" s="111" customFormat="1" ht="12" hidden="1" customHeight="1" outlineLevel="1" x14ac:dyDescent="0.2">
      <c r="C75" s="116" t="s">
        <v>267</v>
      </c>
      <c r="H75" s="111">
        <f>H60/H74*1000</f>
        <v>0.48629092702931653</v>
      </c>
      <c r="I75" s="111">
        <f>(H60+I60)/I74*1000</f>
        <v>1.1726843670698026</v>
      </c>
      <c r="J75" s="111">
        <f>(H60+I60+J60)/J74*1000</f>
        <v>1.7509158561556168</v>
      </c>
      <c r="K75" s="111">
        <f>(H60+I60+J60+K60)/K74*1000</f>
        <v>2.3017755995335984</v>
      </c>
      <c r="L75" s="111">
        <f>L60/L74*1000</f>
        <v>0.51701243462900714</v>
      </c>
      <c r="M75" s="111">
        <f>(L60+M60)/M74*1000</f>
        <v>1.0170849864579192</v>
      </c>
      <c r="N75" s="111">
        <f>(L60+M60+N60)/N74*1000</f>
        <v>1.5116009459518185</v>
      </c>
      <c r="O75" s="111">
        <f>(L60+M60+N60+O60)/O74*1000</f>
        <v>1.8257506345899857</v>
      </c>
      <c r="P75" s="111">
        <f>P60/P74*1000</f>
        <v>0.57807041665457937</v>
      </c>
      <c r="Q75" s="111">
        <f>(P60+Q60)/Q74*1000</f>
        <v>1.069272248066105</v>
      </c>
      <c r="R75" s="111">
        <f t="shared" ref="R75:W75" si="63">(P60+Q60+R60)/R74*1000</f>
        <v>1.6403546256486397</v>
      </c>
      <c r="S75" s="111">
        <f t="shared" si="63"/>
        <v>1.4842711211775277</v>
      </c>
      <c r="T75" s="111">
        <f t="shared" si="63"/>
        <v>2.3772221750635745</v>
      </c>
      <c r="U75" s="111">
        <f t="shared" si="63"/>
        <v>2.1188863530890969</v>
      </c>
      <c r="V75" s="111">
        <f t="shared" si="63"/>
        <v>2.1653196662695984</v>
      </c>
      <c r="W75" s="111">
        <f t="shared" si="63"/>
        <v>0.74777356069733614</v>
      </c>
    </row>
    <row r="76" spans="2:23" ht="12" hidden="1" customHeight="1" outlineLevel="1" x14ac:dyDescent="0.2">
      <c r="J76" s="107"/>
    </row>
    <row r="77" spans="2:23" ht="12" hidden="1" customHeight="1" outlineLevel="1" x14ac:dyDescent="0.2">
      <c r="C77" s="115" t="s">
        <v>273</v>
      </c>
      <c r="H77" s="3">
        <v>29507028</v>
      </c>
      <c r="I77" s="3">
        <v>29505207.252747249</v>
      </c>
      <c r="J77" s="3">
        <v>29435420.445652172</v>
      </c>
      <c r="K77" s="3">
        <v>29355419.597826093</v>
      </c>
      <c r="L77" s="3">
        <v>29292153.111111112</v>
      </c>
      <c r="M77" s="3">
        <v>29261825.91208791</v>
      </c>
      <c r="N77" s="3">
        <v>29243074.652173907</v>
      </c>
      <c r="O77" s="3">
        <v>29218754.597826071</v>
      </c>
      <c r="P77" s="3">
        <v>29210974.15384616</v>
      </c>
      <c r="Q77" s="3">
        <v>29206328</v>
      </c>
      <c r="R77" s="3">
        <v>29205844.304347821</v>
      </c>
      <c r="S77" s="3">
        <v>29196562.782608695</v>
      </c>
      <c r="T77" s="3">
        <v>29187006.888888899</v>
      </c>
      <c r="U77" s="3">
        <v>29182782.696132593</v>
      </c>
      <c r="V77" s="3">
        <v>29180910.783882786</v>
      </c>
      <c r="W77" s="3">
        <v>29178619.232876718</v>
      </c>
    </row>
    <row r="78" spans="2:23" ht="12" customHeight="1" collapsed="1" x14ac:dyDescent="0.2"/>
  </sheetData>
  <mergeCells count="27">
    <mergeCell ref="B59:C59"/>
    <mergeCell ref="B62:C62"/>
    <mergeCell ref="B39:C39"/>
    <mergeCell ref="B41:C41"/>
    <mergeCell ref="B45:C45"/>
    <mergeCell ref="B47:C47"/>
    <mergeCell ref="B48:C48"/>
    <mergeCell ref="B58:C58"/>
    <mergeCell ref="B38:C38"/>
    <mergeCell ref="B20:C20"/>
    <mergeCell ref="B23:C23"/>
    <mergeCell ref="B24:C24"/>
    <mergeCell ref="B25:C25"/>
    <mergeCell ref="B26:C26"/>
    <mergeCell ref="B29:C29"/>
    <mergeCell ref="B30:C30"/>
    <mergeCell ref="B33:C33"/>
    <mergeCell ref="B34:C34"/>
    <mergeCell ref="B36:C36"/>
    <mergeCell ref="B37:C37"/>
    <mergeCell ref="I7:W7"/>
    <mergeCell ref="B19:C19"/>
    <mergeCell ref="B7:C8"/>
    <mergeCell ref="B9:C9"/>
    <mergeCell ref="B10:C10"/>
    <mergeCell ref="B13:C13"/>
    <mergeCell ref="B16:C16"/>
  </mergeCells>
  <pageMargins left="0.78740157480314965" right="0.78740157480314965" top="0.78740157480314965" bottom="1.1811023622047245" header="0.51181102362204722" footer="0.98425196850393704"/>
  <pageSetup paperSize="9" scale="45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CC6C3-8415-48E5-93D8-FC4751E376EC}">
  <sheetPr>
    <tabColor rgb="FFC00000"/>
    <pageSetUpPr fitToPage="1"/>
  </sheetPr>
  <dimension ref="B1:AB78"/>
  <sheetViews>
    <sheetView showGridLines="0" topLeftCell="A5" zoomScaleNormal="100" zoomScaleSheetLayoutView="100" workbookViewId="0">
      <selection activeCell="M23" sqref="M23"/>
    </sheetView>
  </sheetViews>
  <sheetFormatPr defaultColWidth="9.140625" defaultRowHeight="12" customHeight="1" outlineLevelRow="1" x14ac:dyDescent="0.2"/>
  <cols>
    <col min="1" max="1" width="1.140625" style="3" customWidth="1"/>
    <col min="2" max="2" width="1.7109375" style="3" customWidth="1"/>
    <col min="3" max="3" width="56.140625" style="16" customWidth="1"/>
    <col min="4" max="6" width="10.7109375" style="3" hidden="1" customWidth="1"/>
    <col min="7" max="7" width="8" style="3" hidden="1" customWidth="1"/>
    <col min="8" max="8" width="0.140625" style="3" customWidth="1"/>
    <col min="9" max="12" width="9.28515625" style="3" customWidth="1"/>
    <col min="13" max="17" width="9.140625" style="3"/>
    <col min="18" max="19" width="9.140625" style="172"/>
    <col min="20" max="20" width="9.140625" style="170"/>
    <col min="21" max="21" width="9.140625" style="167"/>
    <col min="22" max="22" width="22.7109375" style="3" customWidth="1"/>
    <col min="23" max="16384" width="9.140625" style="3"/>
  </cols>
  <sheetData>
    <row r="1" spans="2:21" s="1" customFormat="1" ht="12" hidden="1" customHeight="1" x14ac:dyDescent="0.2">
      <c r="C1" s="2"/>
      <c r="R1" s="156"/>
      <c r="S1" s="156"/>
      <c r="T1" s="168"/>
      <c r="U1" s="167"/>
    </row>
    <row r="2" spans="2:21" s="1" customFormat="1" ht="12" hidden="1" customHeight="1" x14ac:dyDescent="0.2">
      <c r="C2" s="2"/>
      <c r="R2" s="156"/>
      <c r="S2" s="156"/>
      <c r="T2" s="168"/>
      <c r="U2" s="167"/>
    </row>
    <row r="3" spans="2:21" s="1" customFormat="1" ht="12" hidden="1" customHeight="1" x14ac:dyDescent="0.2">
      <c r="C3" s="2"/>
      <c r="R3" s="156"/>
      <c r="S3" s="156"/>
      <c r="T3" s="168"/>
      <c r="U3" s="167"/>
    </row>
    <row r="4" spans="2:21" s="1" customFormat="1" ht="12" hidden="1" customHeight="1" x14ac:dyDescent="0.2">
      <c r="C4" s="2"/>
      <c r="R4" s="156"/>
      <c r="S4" s="156"/>
      <c r="T4" s="168"/>
      <c r="U4" s="167"/>
    </row>
    <row r="5" spans="2:21" s="1" customFormat="1" ht="12" customHeight="1" x14ac:dyDescent="0.2">
      <c r="C5" s="2"/>
      <c r="R5" s="156"/>
      <c r="S5" s="156"/>
      <c r="T5" s="168"/>
      <c r="U5" s="167"/>
    </row>
    <row r="6" spans="2:21" s="99" customFormat="1" ht="12" customHeight="1" x14ac:dyDescent="0.2">
      <c r="B6" s="97" t="s">
        <v>270</v>
      </c>
      <c r="C6" s="98"/>
      <c r="D6" s="97"/>
      <c r="E6" s="97"/>
      <c r="F6" s="97"/>
      <c r="G6" s="97"/>
      <c r="I6" s="97"/>
      <c r="J6" s="97"/>
      <c r="K6" s="97"/>
      <c r="L6" s="97"/>
      <c r="R6" s="171"/>
      <c r="S6" s="171"/>
      <c r="T6" s="169"/>
      <c r="U6" s="167"/>
    </row>
    <row r="7" spans="2:21" ht="12" customHeight="1" x14ac:dyDescent="0.2">
      <c r="B7" s="181" t="s">
        <v>59</v>
      </c>
      <c r="C7" s="182"/>
      <c r="D7" s="17"/>
      <c r="E7" s="17"/>
      <c r="F7" s="17"/>
      <c r="G7" s="17"/>
      <c r="I7" s="199" t="s">
        <v>122</v>
      </c>
      <c r="J7" s="179"/>
      <c r="K7" s="179"/>
      <c r="L7" s="180"/>
    </row>
    <row r="8" spans="2:21" ht="12" customHeight="1" x14ac:dyDescent="0.2">
      <c r="B8" s="183"/>
      <c r="C8" s="184"/>
      <c r="D8" s="4" t="s">
        <v>51</v>
      </c>
      <c r="E8" s="4" t="s">
        <v>52</v>
      </c>
      <c r="F8" s="4" t="s">
        <v>53</v>
      </c>
      <c r="G8" s="4" t="s">
        <v>54</v>
      </c>
      <c r="I8" s="120">
        <v>2018</v>
      </c>
      <c r="J8" s="120">
        <v>2019</v>
      </c>
      <c r="K8" s="120">
        <v>2020</v>
      </c>
      <c r="L8" s="121">
        <v>2021</v>
      </c>
    </row>
    <row r="9" spans="2:21" ht="12" customHeight="1" x14ac:dyDescent="0.2">
      <c r="B9" s="185" t="s">
        <v>26</v>
      </c>
      <c r="C9" s="186"/>
      <c r="D9" s="5"/>
      <c r="E9" s="5"/>
      <c r="F9" s="5"/>
      <c r="G9" s="5"/>
      <c r="H9" s="6"/>
      <c r="I9" s="28"/>
      <c r="J9" s="5"/>
      <c r="K9" s="26"/>
      <c r="L9" s="26"/>
    </row>
    <row r="10" spans="2:21" ht="12" customHeight="1" x14ac:dyDescent="0.2">
      <c r="B10" s="187" t="s">
        <v>0</v>
      </c>
      <c r="C10" s="187"/>
      <c r="D10" s="44"/>
      <c r="E10" s="44"/>
      <c r="F10" s="44"/>
      <c r="G10" s="44"/>
      <c r="H10" s="8"/>
      <c r="I10" s="44">
        <f t="shared" ref="I10:K10" si="0">SUM(I11:I12)</f>
        <v>827802</v>
      </c>
      <c r="J10" s="44">
        <f t="shared" si="0"/>
        <v>877593</v>
      </c>
      <c r="K10" s="44">
        <f t="shared" si="0"/>
        <v>934850</v>
      </c>
      <c r="L10" s="44">
        <f t="shared" ref="L10" si="1">SUM(L11:L12)</f>
        <v>940083</v>
      </c>
    </row>
    <row r="11" spans="2:21" ht="12" customHeight="1" x14ac:dyDescent="0.2">
      <c r="B11" s="18"/>
      <c r="C11" s="19" t="s">
        <v>1</v>
      </c>
      <c r="D11" s="9"/>
      <c r="E11" s="9"/>
      <c r="F11" s="9"/>
      <c r="G11" s="9"/>
      <c r="H11" s="8"/>
      <c r="I11" s="9">
        <f>SUM('_P&amp;L(g) (old)'!H11:K11)</f>
        <v>17964</v>
      </c>
      <c r="J11" s="9">
        <f>SUM('_P&amp;L(g) (old)'!L11:O11)</f>
        <v>21479</v>
      </c>
      <c r="K11" s="10">
        <f>SUM('P&amp;L(q)'!P11:S11)</f>
        <v>17239</v>
      </c>
      <c r="L11" s="10">
        <f>SUM('P&amp;L(q)'!$T11:W11)</f>
        <v>20478</v>
      </c>
    </row>
    <row r="12" spans="2:21" ht="12" customHeight="1" x14ac:dyDescent="0.2">
      <c r="B12" s="18"/>
      <c r="C12" s="19" t="s">
        <v>2</v>
      </c>
      <c r="D12" s="9"/>
      <c r="E12" s="9"/>
      <c r="F12" s="9"/>
      <c r="G12" s="9"/>
      <c r="H12" s="8"/>
      <c r="I12" s="9">
        <f>SUM('_P&amp;L(g) (old)'!H12:K12)</f>
        <v>809838</v>
      </c>
      <c r="J12" s="9">
        <f>SUM('_P&amp;L(g) (old)'!L12:O12)</f>
        <v>856114</v>
      </c>
      <c r="K12" s="10">
        <f>SUM('P&amp;L(q)'!P12:S12)</f>
        <v>917611</v>
      </c>
      <c r="L12" s="10">
        <f>SUM('P&amp;L(q)'!$T12:W12)</f>
        <v>919605</v>
      </c>
    </row>
    <row r="13" spans="2:21" ht="12" customHeight="1" x14ac:dyDescent="0.2">
      <c r="B13" s="187" t="s">
        <v>33</v>
      </c>
      <c r="C13" s="187"/>
      <c r="D13" s="44"/>
      <c r="E13" s="44"/>
      <c r="F13" s="44"/>
      <c r="G13" s="44"/>
      <c r="H13" s="8"/>
      <c r="I13" s="44">
        <f t="shared" ref="I13:K13" si="2">SUM(I14:I15)</f>
        <v>-568897</v>
      </c>
      <c r="J13" s="44">
        <f t="shared" si="2"/>
        <v>-639831</v>
      </c>
      <c r="K13" s="44">
        <f t="shared" si="2"/>
        <v>-705240</v>
      </c>
      <c r="L13" s="44">
        <f t="shared" ref="L13" si="3">SUM(L14:L15)</f>
        <v>-726506</v>
      </c>
    </row>
    <row r="14" spans="2:21" ht="12" customHeight="1" x14ac:dyDescent="0.2">
      <c r="B14" s="18"/>
      <c r="C14" s="19" t="s">
        <v>1</v>
      </c>
      <c r="D14" s="9"/>
      <c r="E14" s="9"/>
      <c r="F14" s="9"/>
      <c r="G14" s="9"/>
      <c r="H14" s="8"/>
      <c r="I14" s="9">
        <f>SUM('_P&amp;L(g) (old)'!H14:K14)</f>
        <v>-11906</v>
      </c>
      <c r="J14" s="9">
        <f>SUM('_P&amp;L(g) (old)'!L14:O14)</f>
        <v>-14190</v>
      </c>
      <c r="K14" s="10">
        <f>SUM('P&amp;L(q)'!P14:S14)</f>
        <v>-10895</v>
      </c>
      <c r="L14" s="10">
        <f>SUM('P&amp;L(q)'!$T14:W14)</f>
        <v>-13014</v>
      </c>
    </row>
    <row r="15" spans="2:21" ht="12" customHeight="1" x14ac:dyDescent="0.2">
      <c r="B15" s="18"/>
      <c r="C15" s="19" t="s">
        <v>2</v>
      </c>
      <c r="D15" s="9"/>
      <c r="E15" s="9"/>
      <c r="F15" s="9"/>
      <c r="G15" s="9"/>
      <c r="H15" s="8"/>
      <c r="I15" s="9">
        <f>SUM('_P&amp;L(g) (old)'!H15:K15)</f>
        <v>-556991</v>
      </c>
      <c r="J15" s="9">
        <f>SUM('_P&amp;L(g) (old)'!L15:O15)</f>
        <v>-625641</v>
      </c>
      <c r="K15" s="10">
        <f>SUM('P&amp;L(q)'!P15:S15)</f>
        <v>-694345</v>
      </c>
      <c r="L15" s="10">
        <f>SUM('P&amp;L(q)'!$T15:W15)</f>
        <v>-713492</v>
      </c>
    </row>
    <row r="16" spans="2:21" ht="12" customHeight="1" x14ac:dyDescent="0.2">
      <c r="B16" s="187" t="s">
        <v>3</v>
      </c>
      <c r="C16" s="187"/>
      <c r="D16" s="44"/>
      <c r="E16" s="44"/>
      <c r="F16" s="44"/>
      <c r="G16" s="44"/>
      <c r="H16" s="8"/>
      <c r="I16" s="44">
        <f t="shared" ref="I16:K16" si="4">I10+I13</f>
        <v>258905</v>
      </c>
      <c r="J16" s="44">
        <f t="shared" si="4"/>
        <v>237762</v>
      </c>
      <c r="K16" s="44">
        <f t="shared" si="4"/>
        <v>229610</v>
      </c>
      <c r="L16" s="44">
        <f t="shared" ref="L16" si="5">L10+L13</f>
        <v>213577</v>
      </c>
    </row>
    <row r="17" spans="2:25" ht="12" customHeight="1" x14ac:dyDescent="0.2">
      <c r="B17" s="18"/>
      <c r="C17" s="19" t="s">
        <v>4</v>
      </c>
      <c r="D17" s="9"/>
      <c r="E17" s="9"/>
      <c r="F17" s="9"/>
      <c r="G17" s="9"/>
      <c r="H17" s="8"/>
      <c r="I17" s="9">
        <f>SUM('_P&amp;L(g) (old)'!H17:K17)</f>
        <v>-42023</v>
      </c>
      <c r="J17" s="9">
        <f>SUM('_P&amp;L(g) (old)'!L17:O17)</f>
        <v>-39754</v>
      </c>
      <c r="K17" s="10">
        <f>SUM('P&amp;L(q)'!P17:S17)</f>
        <v>-32238</v>
      </c>
      <c r="L17" s="10">
        <f>SUM('P&amp;L(q)'!$T17:W17)</f>
        <v>-36552</v>
      </c>
    </row>
    <row r="18" spans="2:25" ht="12" customHeight="1" x14ac:dyDescent="0.2">
      <c r="B18" s="18"/>
      <c r="C18" s="19" t="s">
        <v>5</v>
      </c>
      <c r="D18" s="9"/>
      <c r="E18" s="9"/>
      <c r="F18" s="9"/>
      <c r="G18" s="9"/>
      <c r="H18" s="8"/>
      <c r="I18" s="9">
        <f>SUM('_P&amp;L(g) (old)'!H18:K18)</f>
        <v>-120012</v>
      </c>
      <c r="J18" s="9">
        <f>SUM('_P&amp;L(g) (old)'!L18:O18)</f>
        <v>-123474</v>
      </c>
      <c r="K18" s="10">
        <f>SUM('P&amp;L(q)'!P18:S18)</f>
        <v>-126134</v>
      </c>
      <c r="L18" s="10">
        <f>SUM('P&amp;L(q)'!$T18:W18)</f>
        <v>-128285</v>
      </c>
    </row>
    <row r="19" spans="2:25" ht="12" customHeight="1" x14ac:dyDescent="0.2">
      <c r="B19" s="187" t="s">
        <v>6</v>
      </c>
      <c r="C19" s="187"/>
      <c r="D19" s="44"/>
      <c r="E19" s="44"/>
      <c r="F19" s="44"/>
      <c r="G19" s="44"/>
      <c r="H19" s="8"/>
      <c r="I19" s="44">
        <f t="shared" ref="I19:K19" si="6">SUM(I16:I18)</f>
        <v>96870</v>
      </c>
      <c r="J19" s="44">
        <f t="shared" si="6"/>
        <v>74534</v>
      </c>
      <c r="K19" s="44">
        <f t="shared" si="6"/>
        <v>71238</v>
      </c>
      <c r="L19" s="44">
        <f t="shared" ref="L19" si="7">SUM(L16:L18)</f>
        <v>48740</v>
      </c>
    </row>
    <row r="20" spans="2:25" ht="12" customHeight="1" x14ac:dyDescent="0.2">
      <c r="B20" s="187" t="s">
        <v>34</v>
      </c>
      <c r="C20" s="187"/>
      <c r="D20" s="44"/>
      <c r="E20" s="44"/>
      <c r="F20" s="44"/>
      <c r="G20" s="44"/>
      <c r="H20" s="8"/>
      <c r="I20" s="44">
        <f t="shared" ref="I20:K20" si="8">SUM(I21:I22)</f>
        <v>-7087</v>
      </c>
      <c r="J20" s="44">
        <f t="shared" si="8"/>
        <v>490</v>
      </c>
      <c r="K20" s="44">
        <f t="shared" si="8"/>
        <v>6001.0000000000036</v>
      </c>
      <c r="L20" s="44">
        <f t="shared" ref="L20" si="9">SUM(L21:L22)</f>
        <v>44425</v>
      </c>
    </row>
    <row r="21" spans="2:25" ht="12" customHeight="1" x14ac:dyDescent="0.2">
      <c r="B21" s="20"/>
      <c r="C21" s="21" t="s">
        <v>35</v>
      </c>
      <c r="D21" s="9"/>
      <c r="E21" s="9"/>
      <c r="F21" s="9"/>
      <c r="G21" s="9"/>
      <c r="H21" s="8"/>
      <c r="I21" s="9">
        <f>SUM('_P&amp;L(g) (old)'!H21:K21)</f>
        <v>6643</v>
      </c>
      <c r="J21" s="9">
        <f>SUM('_P&amp;L(g) (old)'!L21:O21)</f>
        <v>9109</v>
      </c>
      <c r="K21" s="10">
        <f>SUM('P&amp;L(q)'!P21:S21)</f>
        <v>13270.000000000004</v>
      </c>
      <c r="L21" s="10">
        <f>SUM('P&amp;L(q)'!$T21:W21)</f>
        <v>46042</v>
      </c>
    </row>
    <row r="22" spans="2:25" ht="12" customHeight="1" x14ac:dyDescent="0.2">
      <c r="B22" s="20"/>
      <c r="C22" s="21" t="s">
        <v>36</v>
      </c>
      <c r="D22" s="9"/>
      <c r="E22" s="9"/>
      <c r="F22" s="9"/>
      <c r="G22" s="9"/>
      <c r="H22" s="8"/>
      <c r="I22" s="9">
        <f>SUM('_P&amp;L(g) (old)'!H22:K22)</f>
        <v>-13730</v>
      </c>
      <c r="J22" s="9">
        <f>SUM('_P&amp;L(g) (old)'!L22:O22)</f>
        <v>-8619</v>
      </c>
      <c r="K22" s="10">
        <f>SUM('P&amp;L(q)'!P22:S22)</f>
        <v>-7269</v>
      </c>
      <c r="L22" s="10">
        <f>SUM('P&amp;L(q)'!$T22:W22)</f>
        <v>-1617</v>
      </c>
    </row>
    <row r="23" spans="2:25" s="15" customFormat="1" ht="12" customHeight="1" x14ac:dyDescent="0.2">
      <c r="B23" s="188" t="s">
        <v>7</v>
      </c>
      <c r="C23" s="189"/>
      <c r="D23" s="9"/>
      <c r="E23" s="9"/>
      <c r="F23" s="9"/>
      <c r="G23" s="9"/>
      <c r="H23" s="8"/>
      <c r="I23" s="9">
        <f>SUM('_P&amp;L(g) (old)'!H23:K23)</f>
        <v>1342</v>
      </c>
      <c r="J23" s="9">
        <f>SUM('_P&amp;L(g) (old)'!L23:O23)</f>
        <v>1393</v>
      </c>
      <c r="K23" s="10">
        <f>SUM('P&amp;L(q)'!P23:S23)</f>
        <v>1352</v>
      </c>
      <c r="L23" s="10">
        <f>SUM('P&amp;L(q)'!$T23:W23)</f>
        <v>1636</v>
      </c>
      <c r="M23" s="3"/>
      <c r="N23" s="3"/>
      <c r="O23" s="3"/>
      <c r="P23" s="3"/>
      <c r="Q23" s="3"/>
      <c r="R23" s="172"/>
      <c r="S23" s="172"/>
      <c r="T23" s="170"/>
      <c r="U23" s="167"/>
      <c r="V23" s="3"/>
      <c r="W23" s="3"/>
      <c r="X23" s="3"/>
    </row>
    <row r="24" spans="2:25" s="15" customFormat="1" ht="12" customHeight="1" x14ac:dyDescent="0.2">
      <c r="B24" s="188" t="s">
        <v>27</v>
      </c>
      <c r="C24" s="189"/>
      <c r="D24" s="9"/>
      <c r="E24" s="9"/>
      <c r="F24" s="9"/>
      <c r="G24" s="9"/>
      <c r="H24" s="8"/>
      <c r="I24" s="9">
        <f>SUM('_P&amp;L(g) (old)'!H24:K24)</f>
        <v>0</v>
      </c>
      <c r="J24" s="9">
        <f>SUM('_P&amp;L(g) (old)'!L24:O24)</f>
        <v>0</v>
      </c>
      <c r="K24" s="10">
        <f>SUM('P&amp;L(q)'!P24:S24)</f>
        <v>0</v>
      </c>
      <c r="L24" s="10">
        <f>SUM('P&amp;L(q)'!$T24:W24)</f>
        <v>0</v>
      </c>
      <c r="M24" s="3"/>
      <c r="N24" s="3"/>
      <c r="O24" s="3"/>
      <c r="P24" s="3"/>
      <c r="Q24" s="3"/>
      <c r="R24" s="172"/>
      <c r="S24" s="172"/>
      <c r="T24" s="170"/>
      <c r="U24" s="167"/>
      <c r="V24" s="3"/>
      <c r="W24" s="3"/>
      <c r="X24" s="3"/>
      <c r="Y24" s="3"/>
    </row>
    <row r="25" spans="2:25" ht="12" customHeight="1" x14ac:dyDescent="0.2">
      <c r="B25" s="187" t="s">
        <v>8</v>
      </c>
      <c r="C25" s="187"/>
      <c r="D25" s="44"/>
      <c r="E25" s="44"/>
      <c r="F25" s="44"/>
      <c r="G25" s="44"/>
      <c r="H25" s="8"/>
      <c r="I25" s="44">
        <f>SUM(I19:I20)+I23+I24</f>
        <v>91125</v>
      </c>
      <c r="J25" s="44">
        <f>SUM(J19:J20)+J23+J24</f>
        <v>76417</v>
      </c>
      <c r="K25" s="44">
        <f>SUM(K19:K20)+K23+K24</f>
        <v>78591</v>
      </c>
      <c r="L25" s="44">
        <f>SUM(L19:L20)+L23+L24</f>
        <v>94801</v>
      </c>
      <c r="V25" s="167"/>
    </row>
    <row r="26" spans="2:25" ht="12" customHeight="1" x14ac:dyDescent="0.2">
      <c r="B26" s="187" t="s">
        <v>37</v>
      </c>
      <c r="C26" s="187"/>
      <c r="D26" s="44"/>
      <c r="E26" s="44"/>
      <c r="F26" s="44"/>
      <c r="G26" s="44"/>
      <c r="H26" s="8"/>
      <c r="I26" s="44">
        <f t="shared" ref="I26:K26" si="10">SUM(I27:I28)</f>
        <v>649</v>
      </c>
      <c r="J26" s="44">
        <f t="shared" si="10"/>
        <v>-2533</v>
      </c>
      <c r="K26" s="44">
        <f t="shared" si="10"/>
        <v>3325.9999999999991</v>
      </c>
      <c r="L26" s="44">
        <f t="shared" ref="L26" si="11">SUM(L27:L28)</f>
        <v>-9557</v>
      </c>
      <c r="V26" s="15"/>
    </row>
    <row r="27" spans="2:25" ht="12" customHeight="1" x14ac:dyDescent="0.2">
      <c r="B27" s="20"/>
      <c r="C27" s="21" t="s">
        <v>35</v>
      </c>
      <c r="D27" s="9"/>
      <c r="E27" s="9"/>
      <c r="F27" s="9"/>
      <c r="G27" s="9"/>
      <c r="H27" s="8"/>
      <c r="I27" s="9">
        <f>SUM('_P&amp;L(g) (old)'!H27:K27)</f>
        <v>7177</v>
      </c>
      <c r="J27" s="9">
        <f>SUM('_P&amp;L(g) (old)'!L27:O27)</f>
        <v>6377</v>
      </c>
      <c r="K27" s="10">
        <f>SUM('P&amp;L(q)'!P27:S27)</f>
        <v>8080</v>
      </c>
      <c r="L27" s="10">
        <f>SUM('P&amp;L(q)'!$T27:W27)</f>
        <v>1307.0000000000002</v>
      </c>
      <c r="W27" s="15"/>
      <c r="X27" s="15"/>
    </row>
    <row r="28" spans="2:25" ht="12" customHeight="1" x14ac:dyDescent="0.2">
      <c r="B28" s="20"/>
      <c r="C28" s="21" t="s">
        <v>36</v>
      </c>
      <c r="D28" s="9"/>
      <c r="E28" s="9"/>
      <c r="F28" s="9"/>
      <c r="G28" s="9"/>
      <c r="H28" s="8"/>
      <c r="I28" s="9">
        <f>SUM('_P&amp;L(g) (old)'!H28:K28)</f>
        <v>-6528</v>
      </c>
      <c r="J28" s="9">
        <f>SUM('_P&amp;L(g) (old)'!L28:O28)</f>
        <v>-8910</v>
      </c>
      <c r="K28" s="10">
        <f>SUM('P&amp;L(q)'!P28:S28)</f>
        <v>-4754.0000000000009</v>
      </c>
      <c r="L28" s="10">
        <f>SUM('P&amp;L(q)'!$T28:W28)</f>
        <v>-10864</v>
      </c>
      <c r="Y28" s="15"/>
    </row>
    <row r="29" spans="2:25" s="15" customFormat="1" ht="12" customHeight="1" x14ac:dyDescent="0.2">
      <c r="B29" s="188" t="s">
        <v>28</v>
      </c>
      <c r="C29" s="189"/>
      <c r="D29" s="9"/>
      <c r="E29" s="9"/>
      <c r="F29" s="9"/>
      <c r="G29" s="9"/>
      <c r="H29" s="8"/>
      <c r="I29" s="9">
        <f>SUM('_P&amp;L(g) (old)'!H29:K29)</f>
        <v>0</v>
      </c>
      <c r="J29" s="9">
        <f>SUM('_P&amp;L(g) (old)'!L29:O29)</f>
        <v>0</v>
      </c>
      <c r="K29" s="10">
        <f>SUM('P&amp;L(q)'!P29:S29)</f>
        <v>0</v>
      </c>
      <c r="L29" s="10">
        <f>SUM('P&amp;L(q)'!$T29:W29)</f>
        <v>0</v>
      </c>
      <c r="M29" s="3"/>
      <c r="N29" s="3"/>
      <c r="O29" s="3"/>
      <c r="P29" s="3"/>
      <c r="Q29" s="3"/>
      <c r="R29" s="172"/>
      <c r="S29" s="172"/>
      <c r="T29" s="170"/>
      <c r="U29" s="167"/>
      <c r="W29" s="3"/>
      <c r="X29" s="3"/>
      <c r="Y29" s="3"/>
    </row>
    <row r="30" spans="2:25" ht="12" customHeight="1" x14ac:dyDescent="0.2">
      <c r="B30" s="187" t="s">
        <v>9</v>
      </c>
      <c r="C30" s="187"/>
      <c r="D30" s="44"/>
      <c r="E30" s="44"/>
      <c r="F30" s="44"/>
      <c r="G30" s="44"/>
      <c r="H30" s="8"/>
      <c r="I30" s="44" cm="1">
        <f t="array" ref="I30">SUM(I25:I26+I29)</f>
        <v>91774</v>
      </c>
      <c r="J30" s="44" cm="1">
        <f t="array" ref="J30">SUM(J25:J26+J29)</f>
        <v>73884</v>
      </c>
      <c r="K30" s="44" cm="1">
        <f t="array" ref="K30">SUM(K25:K26+K29)</f>
        <v>81917</v>
      </c>
      <c r="L30" s="44" cm="1">
        <f t="array" ref="L30">SUM(L25:L26+L29)</f>
        <v>85244</v>
      </c>
      <c r="W30" s="15"/>
    </row>
    <row r="31" spans="2:25" ht="12" customHeight="1" x14ac:dyDescent="0.2">
      <c r="B31" s="18"/>
      <c r="C31" s="19" t="s">
        <v>10</v>
      </c>
      <c r="D31" s="9"/>
      <c r="E31" s="9"/>
      <c r="F31" s="9"/>
      <c r="G31" s="9"/>
      <c r="H31" s="8"/>
      <c r="I31" s="9">
        <f>SUM('_P&amp;L(g) (old)'!H31:K31)</f>
        <v>-16958</v>
      </c>
      <c r="J31" s="9">
        <f>SUM('_P&amp;L(g) (old)'!L31:O31)</f>
        <v>-15659</v>
      </c>
      <c r="K31" s="10">
        <f>SUM('P&amp;L(q)'!P31:S31)</f>
        <v>-15479</v>
      </c>
      <c r="L31" s="10">
        <f>SUM('P&amp;L(q)'!$T31:W31)</f>
        <v>-24929</v>
      </c>
      <c r="V31" s="15"/>
      <c r="X31" s="15"/>
    </row>
    <row r="32" spans="2:25" ht="12" customHeight="1" x14ac:dyDescent="0.2">
      <c r="B32" s="18"/>
      <c r="C32" s="19" t="s">
        <v>11</v>
      </c>
      <c r="D32" s="9"/>
      <c r="E32" s="9"/>
      <c r="F32" s="9"/>
      <c r="G32" s="9"/>
      <c r="H32" s="8"/>
      <c r="I32" s="9">
        <f>SUM('_P&amp;L(g) (old)'!H32:K32)</f>
        <v>-5580</v>
      </c>
      <c r="J32" s="9">
        <f>SUM('_P&amp;L(g) (old)'!L32:O32)</f>
        <v>-2938</v>
      </c>
      <c r="K32" s="10">
        <f>SUM('P&amp;L(q)'!P32:S32)</f>
        <v>-4201</v>
      </c>
      <c r="L32" s="10">
        <f>SUM('P&amp;L(q)'!$T32:W32)</f>
        <v>3021</v>
      </c>
      <c r="W32" s="15"/>
      <c r="Y32" s="15"/>
    </row>
    <row r="33" spans="2:25" ht="12" customHeight="1" x14ac:dyDescent="0.2">
      <c r="B33" s="187" t="s">
        <v>12</v>
      </c>
      <c r="C33" s="187"/>
      <c r="D33" s="44"/>
      <c r="E33" s="44"/>
      <c r="F33" s="44"/>
      <c r="G33" s="44"/>
      <c r="H33" s="8"/>
      <c r="I33" s="44">
        <f t="shared" ref="I33:K33" si="12">SUM(I30:I32)</f>
        <v>69236</v>
      </c>
      <c r="J33" s="44">
        <f t="shared" si="12"/>
        <v>55287</v>
      </c>
      <c r="K33" s="44">
        <f t="shared" si="12"/>
        <v>62237</v>
      </c>
      <c r="L33" s="44">
        <f t="shared" ref="L33" si="13">SUM(L30:L32)</f>
        <v>63336</v>
      </c>
      <c r="X33" s="15"/>
    </row>
    <row r="34" spans="2:25" s="15" customFormat="1" ht="12" customHeight="1" x14ac:dyDescent="0.2">
      <c r="B34" s="190" t="s">
        <v>13</v>
      </c>
      <c r="C34" s="191"/>
      <c r="D34" s="24"/>
      <c r="E34" s="24"/>
      <c r="F34" s="24"/>
      <c r="G34" s="24"/>
      <c r="H34" s="8"/>
      <c r="I34" s="24"/>
      <c r="J34" s="24"/>
      <c r="K34" s="27"/>
      <c r="L34" s="27"/>
      <c r="M34" s="3"/>
      <c r="N34" s="3"/>
      <c r="O34" s="3"/>
      <c r="P34" s="3"/>
      <c r="Q34" s="3"/>
      <c r="R34" s="172"/>
      <c r="S34" s="172"/>
      <c r="T34" s="170"/>
      <c r="U34" s="167"/>
      <c r="V34" s="3"/>
      <c r="W34" s="3"/>
      <c r="X34" s="3"/>
    </row>
    <row r="35" spans="2:25" ht="12" customHeight="1" x14ac:dyDescent="0.2">
      <c r="B35" s="18"/>
      <c r="C35" s="19" t="s">
        <v>14</v>
      </c>
      <c r="D35" s="9"/>
      <c r="E35" s="9"/>
      <c r="F35" s="9"/>
      <c r="G35" s="9"/>
      <c r="H35" s="8"/>
      <c r="I35" s="9">
        <f>SUM('_P&amp;L(g) (old)'!H35:K35)</f>
        <v>1169</v>
      </c>
      <c r="J35" s="9">
        <f>SUM('_P&amp;L(g) (old)'!L35:O35)</f>
        <v>0</v>
      </c>
      <c r="K35" s="10">
        <f>SUM('P&amp;L(q)'!P35:S35)</f>
        <v>0</v>
      </c>
      <c r="L35" s="10">
        <f>SUM('P&amp;L(q)'!$T35:W35)</f>
        <v>0</v>
      </c>
    </row>
    <row r="36" spans="2:25" s="15" customFormat="1" ht="12" customHeight="1" x14ac:dyDescent="0.2">
      <c r="B36" s="190" t="s">
        <v>15</v>
      </c>
      <c r="C36" s="191"/>
      <c r="D36" s="7"/>
      <c r="E36" s="7"/>
      <c r="F36" s="7"/>
      <c r="G36" s="7"/>
      <c r="H36" s="8"/>
      <c r="I36" s="7"/>
      <c r="J36" s="7"/>
      <c r="K36" s="7"/>
      <c r="L36" s="7"/>
      <c r="M36" s="3"/>
      <c r="N36" s="3"/>
      <c r="O36" s="3"/>
      <c r="P36" s="3"/>
      <c r="Q36" s="3"/>
      <c r="R36" s="172"/>
      <c r="S36" s="172"/>
      <c r="T36" s="170"/>
      <c r="U36" s="167"/>
      <c r="V36" s="3"/>
      <c r="W36" s="3"/>
      <c r="X36" s="3"/>
      <c r="Y36" s="3"/>
    </row>
    <row r="37" spans="2:25" ht="12" customHeight="1" x14ac:dyDescent="0.2">
      <c r="B37" s="187" t="s">
        <v>16</v>
      </c>
      <c r="C37" s="187"/>
      <c r="D37" s="44"/>
      <c r="E37" s="44"/>
      <c r="F37" s="44"/>
      <c r="G37" s="44"/>
      <c r="H37" s="8"/>
      <c r="I37" s="44">
        <f t="shared" ref="I37:K37" si="14">I33+I35</f>
        <v>70405</v>
      </c>
      <c r="J37" s="44">
        <f t="shared" si="14"/>
        <v>55287</v>
      </c>
      <c r="K37" s="44">
        <f t="shared" si="14"/>
        <v>62237</v>
      </c>
      <c r="L37" s="44">
        <f t="shared" ref="L37" si="15">L33+L35</f>
        <v>63336</v>
      </c>
    </row>
    <row r="38" spans="2:25" ht="12" customHeight="1" x14ac:dyDescent="0.2">
      <c r="B38" s="138"/>
      <c r="C38" s="139"/>
      <c r="D38" s="140"/>
      <c r="E38" s="140"/>
      <c r="F38" s="140"/>
      <c r="G38" s="140"/>
      <c r="H38" s="141"/>
      <c r="I38" s="140"/>
      <c r="J38" s="140"/>
      <c r="K38" s="140"/>
      <c r="L38" s="140"/>
    </row>
    <row r="39" spans="2:25" ht="12" customHeight="1" x14ac:dyDescent="0.2">
      <c r="B39" s="187" t="s">
        <v>8</v>
      </c>
      <c r="C39" s="187"/>
      <c r="D39" s="44"/>
      <c r="E39" s="44"/>
      <c r="F39" s="44"/>
      <c r="G39" s="44"/>
      <c r="H39" s="8"/>
      <c r="I39" s="44">
        <f>I25</f>
        <v>91125</v>
      </c>
      <c r="J39" s="44">
        <f>J25</f>
        <v>76417</v>
      </c>
      <c r="K39" s="44">
        <f>K25</f>
        <v>78591</v>
      </c>
      <c r="L39" s="44">
        <f>L25</f>
        <v>94801</v>
      </c>
    </row>
    <row r="40" spans="2:25" ht="12" customHeight="1" x14ac:dyDescent="0.2">
      <c r="B40" s="11"/>
      <c r="C40" s="12" t="s">
        <v>22</v>
      </c>
      <c r="D40" s="9"/>
      <c r="E40" s="9"/>
      <c r="F40" s="9"/>
      <c r="G40" s="9"/>
      <c r="H40" s="8"/>
      <c r="I40" s="9">
        <f>SUM('_P&amp;L(g) (old)'!H40:K40)</f>
        <v>41782</v>
      </c>
      <c r="J40" s="9">
        <f>SUM('_P&amp;L(g) (old)'!L40:O40)</f>
        <v>49871</v>
      </c>
      <c r="K40" s="10">
        <f>SUM('P&amp;L(q)'!P40:S40)</f>
        <v>52509</v>
      </c>
      <c r="L40" s="10">
        <f>SUM('P&amp;L(q)'!$T40:W40)</f>
        <v>55772</v>
      </c>
    </row>
    <row r="41" spans="2:25" ht="12" customHeight="1" x14ac:dyDescent="0.2">
      <c r="B41" s="187" t="s">
        <v>23</v>
      </c>
      <c r="C41" s="187"/>
      <c r="D41" s="44"/>
      <c r="E41" s="44"/>
      <c r="F41" s="44"/>
      <c r="G41" s="44"/>
      <c r="H41" s="8"/>
      <c r="I41" s="44">
        <f t="shared" ref="I41:L41" si="16">SUM(I39:I40)</f>
        <v>132907</v>
      </c>
      <c r="J41" s="44">
        <f t="shared" si="16"/>
        <v>126288</v>
      </c>
      <c r="K41" s="44">
        <f t="shared" si="16"/>
        <v>131100</v>
      </c>
      <c r="L41" s="44">
        <f t="shared" si="16"/>
        <v>150573</v>
      </c>
    </row>
    <row r="42" spans="2:25" ht="12" customHeight="1" x14ac:dyDescent="0.2">
      <c r="B42" s="11" t="s">
        <v>230</v>
      </c>
      <c r="C42" s="12"/>
      <c r="D42" s="9"/>
      <c r="E42" s="9"/>
      <c r="F42" s="9"/>
      <c r="G42" s="9"/>
      <c r="H42" s="107"/>
      <c r="I42" s="105">
        <f>I41/I10</f>
        <v>0.16055409385336106</v>
      </c>
      <c r="J42" s="105">
        <f>J41/J10</f>
        <v>0.14390269749188975</v>
      </c>
      <c r="K42" s="108">
        <f>K41/K10</f>
        <v>0.14023640156174788</v>
      </c>
      <c r="L42" s="108">
        <f>L41/L10</f>
        <v>0.16016989989181807</v>
      </c>
    </row>
    <row r="43" spans="2:25" ht="12" customHeight="1" x14ac:dyDescent="0.2">
      <c r="B43" s="129"/>
      <c r="C43" s="130" t="s">
        <v>256</v>
      </c>
      <c r="D43" s="131"/>
      <c r="E43" s="131"/>
      <c r="F43" s="131"/>
      <c r="G43" s="131"/>
      <c r="H43" s="8"/>
      <c r="I43" s="132">
        <f>I60/I77*1000</f>
        <v>2.3017755995335984</v>
      </c>
      <c r="J43" s="132">
        <f>J60/J77*1000</f>
        <v>1.8257506345899857</v>
      </c>
      <c r="K43" s="132">
        <f>K60/K77*1000</f>
        <v>2.0624616294409708</v>
      </c>
      <c r="L43" s="132">
        <f>L60/L77*1000</f>
        <v>2.1317321256214772</v>
      </c>
    </row>
    <row r="44" spans="2:25" ht="12" customHeight="1" x14ac:dyDescent="0.2">
      <c r="B44" s="134"/>
      <c r="C44" s="135"/>
      <c r="D44" s="136"/>
      <c r="E44" s="136"/>
      <c r="F44" s="136"/>
      <c r="G44" s="136"/>
      <c r="H44" s="137"/>
      <c r="I44" s="136"/>
      <c r="J44" s="136"/>
      <c r="K44" s="136"/>
      <c r="L44" s="136"/>
    </row>
    <row r="45" spans="2:25" ht="12" customHeight="1" x14ac:dyDescent="0.2">
      <c r="B45" s="138"/>
      <c r="C45" s="139"/>
      <c r="D45" s="140"/>
      <c r="E45" s="140"/>
      <c r="F45" s="140"/>
      <c r="G45" s="140"/>
      <c r="H45" s="141"/>
      <c r="I45" s="140"/>
      <c r="J45" s="140"/>
      <c r="K45" s="140"/>
      <c r="L45" s="140"/>
    </row>
    <row r="46" spans="2:25" ht="12" customHeight="1" x14ac:dyDescent="0.2">
      <c r="B46" s="142"/>
      <c r="C46" s="143"/>
      <c r="D46" s="144"/>
      <c r="E46" s="144"/>
      <c r="F46" s="144"/>
      <c r="G46" s="144"/>
      <c r="H46" s="145"/>
      <c r="I46" s="144"/>
      <c r="J46" s="144"/>
      <c r="K46" s="144"/>
      <c r="L46" s="144"/>
    </row>
    <row r="47" spans="2:25" ht="12" customHeight="1" x14ac:dyDescent="0.2">
      <c r="B47" s="200" t="s">
        <v>38</v>
      </c>
      <c r="C47" s="201"/>
      <c r="D47" s="133"/>
      <c r="E47" s="133"/>
      <c r="F47" s="133"/>
      <c r="G47" s="133"/>
      <c r="H47" s="8"/>
      <c r="I47" s="133"/>
      <c r="J47" s="133"/>
      <c r="K47" s="133"/>
      <c r="L47" s="133"/>
    </row>
    <row r="48" spans="2:25" ht="12" customHeight="1" x14ac:dyDescent="0.2">
      <c r="B48" s="187" t="s">
        <v>39</v>
      </c>
      <c r="C48" s="187"/>
      <c r="D48" s="44"/>
      <c r="E48" s="44"/>
      <c r="F48" s="44"/>
      <c r="G48" s="44"/>
      <c r="H48" s="8"/>
      <c r="I48" s="44">
        <f t="shared" ref="I48:L48" si="17">SUM(I50:I53)+SUM(I55:I57)</f>
        <v>-1666</v>
      </c>
      <c r="J48" s="44">
        <f t="shared" si="17"/>
        <v>3489</v>
      </c>
      <c r="K48" s="44">
        <f t="shared" si="17"/>
        <v>-2644</v>
      </c>
      <c r="L48" s="44">
        <f t="shared" si="17"/>
        <v>5873.0000000000009</v>
      </c>
    </row>
    <row r="49" spans="2:12" ht="12" customHeight="1" x14ac:dyDescent="0.2">
      <c r="B49" s="119"/>
      <c r="C49" s="23" t="s">
        <v>40</v>
      </c>
      <c r="D49" s="9"/>
      <c r="E49" s="9"/>
      <c r="F49" s="9"/>
      <c r="G49" s="9"/>
      <c r="H49" s="8"/>
      <c r="I49" s="14"/>
      <c r="J49" s="14"/>
      <c r="K49" s="14"/>
      <c r="L49" s="14"/>
    </row>
    <row r="50" spans="2:12" ht="12" customHeight="1" x14ac:dyDescent="0.2">
      <c r="B50" s="18"/>
      <c r="C50" s="19" t="s">
        <v>17</v>
      </c>
      <c r="D50" s="9"/>
      <c r="E50" s="9"/>
      <c r="F50" s="9"/>
      <c r="G50" s="9"/>
      <c r="H50" s="8"/>
      <c r="I50" s="9">
        <f>SUM('_P&amp;L(g) (old)'!H50:K50)</f>
        <v>1604</v>
      </c>
      <c r="J50" s="9">
        <f>SUM('_P&amp;L(g) (old)'!L50:O50)</f>
        <v>1542</v>
      </c>
      <c r="K50" s="10">
        <f>SUM('P&amp;L(q)'!P50:S50)</f>
        <v>5434</v>
      </c>
      <c r="L50" s="10">
        <f>SUM('P&amp;L(q)'!$T50:W50)</f>
        <v>2961.0000000000005</v>
      </c>
    </row>
    <row r="51" spans="2:12" ht="12" customHeight="1" x14ac:dyDescent="0.2">
      <c r="B51" s="18"/>
      <c r="C51" s="19" t="s">
        <v>29</v>
      </c>
      <c r="D51" s="9"/>
      <c r="E51" s="9"/>
      <c r="F51" s="9"/>
      <c r="G51" s="9"/>
      <c r="H51" s="8"/>
      <c r="I51" s="9">
        <f>SUM('_P&amp;L(g) (old)'!H51:K51)</f>
        <v>0</v>
      </c>
      <c r="J51" s="9">
        <f>SUM('_P&amp;L(g) (old)'!L51:O51)</f>
        <v>0</v>
      </c>
      <c r="K51" s="10">
        <f>SUM('P&amp;L(q)'!P51:S51)</f>
        <v>0</v>
      </c>
      <c r="L51" s="10">
        <f>SUM('P&amp;L(q)'!$T51:W51)</f>
        <v>0</v>
      </c>
    </row>
    <row r="52" spans="2:12" ht="12" customHeight="1" x14ac:dyDescent="0.2">
      <c r="B52" s="18"/>
      <c r="C52" s="19" t="s">
        <v>18</v>
      </c>
      <c r="D52" s="9"/>
      <c r="E52" s="9"/>
      <c r="F52" s="9"/>
      <c r="G52" s="9"/>
      <c r="H52" s="8"/>
      <c r="I52" s="9">
        <f>SUM('_P&amp;L(g) (old)'!H52:K52)</f>
        <v>-2803</v>
      </c>
      <c r="J52" s="9">
        <f>SUM('_P&amp;L(g) (old)'!L52:O52)</f>
        <v>2023</v>
      </c>
      <c r="K52" s="10">
        <f>SUM('P&amp;L(q)'!P52:S52)</f>
        <v>-8095</v>
      </c>
      <c r="L52" s="10">
        <f>SUM('P&amp;L(q)'!$T52:W52)</f>
        <v>2745.0000000000005</v>
      </c>
    </row>
    <row r="53" spans="2:12" ht="12" customHeight="1" x14ac:dyDescent="0.2">
      <c r="B53" s="18"/>
      <c r="C53" s="19" t="s">
        <v>30</v>
      </c>
      <c r="D53" s="9"/>
      <c r="E53" s="9"/>
      <c r="F53" s="9"/>
      <c r="G53" s="9"/>
      <c r="H53" s="8"/>
      <c r="I53" s="9">
        <f>SUM('_P&amp;L(g) (old)'!H53:K53)</f>
        <v>0</v>
      </c>
      <c r="J53" s="9">
        <f>SUM('_P&amp;L(g) (old)'!L53:O53)</f>
        <v>0</v>
      </c>
      <c r="K53" s="10">
        <f>SUM('P&amp;L(q)'!P53:S53)</f>
        <v>0</v>
      </c>
      <c r="L53" s="10">
        <f>SUM('P&amp;L(q)'!$T53:W53)</f>
        <v>0</v>
      </c>
    </row>
    <row r="54" spans="2:12" ht="12" customHeight="1" x14ac:dyDescent="0.2">
      <c r="B54" s="18"/>
      <c r="C54" s="23" t="s">
        <v>41</v>
      </c>
      <c r="D54" s="7"/>
      <c r="E54" s="7"/>
      <c r="F54" s="7"/>
      <c r="G54" s="7"/>
      <c r="H54" s="8"/>
      <c r="I54" s="7"/>
      <c r="J54" s="7"/>
      <c r="K54" s="7">
        <f>SUM('P&amp;L(q)'!P54:S54)</f>
        <v>0</v>
      </c>
      <c r="L54" s="10">
        <f>SUM('P&amp;L(q)'!$T54:W54)</f>
        <v>0</v>
      </c>
    </row>
    <row r="55" spans="2:12" ht="12" customHeight="1" x14ac:dyDescent="0.2">
      <c r="B55" s="18"/>
      <c r="C55" s="19" t="s">
        <v>42</v>
      </c>
      <c r="D55" s="9"/>
      <c r="E55" s="9"/>
      <c r="F55" s="9"/>
      <c r="G55" s="9"/>
      <c r="H55" s="8"/>
      <c r="I55" s="9">
        <f>SUM('_P&amp;L(g) (old)'!H55:K55)</f>
        <v>-467</v>
      </c>
      <c r="J55" s="9">
        <f>SUM('_P&amp;L(g) (old)'!L55:O55)</f>
        <v>-76</v>
      </c>
      <c r="K55" s="10">
        <f>SUM('P&amp;L(q)'!P55:S55)</f>
        <v>17</v>
      </c>
      <c r="L55" s="10">
        <f>SUM('P&amp;L(q)'!$T55:W55)</f>
        <v>167</v>
      </c>
    </row>
    <row r="56" spans="2:12" ht="12" customHeight="1" x14ac:dyDescent="0.2">
      <c r="B56" s="18"/>
      <c r="C56" s="19" t="s">
        <v>31</v>
      </c>
      <c r="D56" s="9"/>
      <c r="E56" s="9"/>
      <c r="F56" s="9"/>
      <c r="G56" s="9"/>
      <c r="H56" s="8"/>
      <c r="I56" s="9">
        <f>SUM('_P&amp;L(g) (old)'!H56:K56)</f>
        <v>0</v>
      </c>
      <c r="J56" s="9">
        <f>SUM('_P&amp;L(g) (old)'!L56:O56)</f>
        <v>0</v>
      </c>
      <c r="K56" s="10">
        <f>SUM('P&amp;L(q)'!P56:S56)</f>
        <v>0</v>
      </c>
      <c r="L56" s="10">
        <f>SUM('P&amp;L(q)'!$T56:W56)</f>
        <v>0</v>
      </c>
    </row>
    <row r="57" spans="2:12" ht="12" customHeight="1" x14ac:dyDescent="0.2">
      <c r="B57" s="18"/>
      <c r="C57" s="19" t="s">
        <v>32</v>
      </c>
      <c r="D57" s="9"/>
      <c r="E57" s="9"/>
      <c r="F57" s="9"/>
      <c r="G57" s="9"/>
      <c r="H57" s="8"/>
      <c r="I57" s="9">
        <f>SUM('_P&amp;L(g) (old)'!H57:K57)</f>
        <v>0</v>
      </c>
      <c r="J57" s="9">
        <f>SUM('_P&amp;L(g) (old)'!L57:O57)</f>
        <v>0</v>
      </c>
      <c r="K57" s="10">
        <f>SUM('P&amp;L(q)'!P57:S57)</f>
        <v>0</v>
      </c>
      <c r="L57" s="10">
        <f>SUM('P&amp;L(q)'!$T57:W57)</f>
        <v>0</v>
      </c>
    </row>
    <row r="58" spans="2:12" ht="12" customHeight="1" x14ac:dyDescent="0.2">
      <c r="B58" s="187" t="s">
        <v>19</v>
      </c>
      <c r="C58" s="187"/>
      <c r="D58" s="44"/>
      <c r="E58" s="44"/>
      <c r="F58" s="44"/>
      <c r="G58" s="44"/>
      <c r="H58" s="8"/>
      <c r="I58" s="44">
        <f t="shared" ref="I58:K58" si="18">I37+I48</f>
        <v>68739</v>
      </c>
      <c r="J58" s="44">
        <f t="shared" si="18"/>
        <v>58776</v>
      </c>
      <c r="K58" s="44">
        <f t="shared" si="18"/>
        <v>59593</v>
      </c>
      <c r="L58" s="44">
        <f t="shared" ref="L58" si="19">L37+L48</f>
        <v>69209</v>
      </c>
    </row>
    <row r="59" spans="2:12" ht="12" customHeight="1" x14ac:dyDescent="0.2">
      <c r="B59" s="187" t="s">
        <v>20</v>
      </c>
      <c r="C59" s="187"/>
      <c r="D59" s="44"/>
      <c r="E59" s="44"/>
      <c r="F59" s="44"/>
      <c r="G59" s="44"/>
      <c r="H59" s="8"/>
      <c r="I59" s="44">
        <f t="shared" ref="I59:K59" si="20">SUM(I60:I61)</f>
        <v>70405</v>
      </c>
      <c r="J59" s="44">
        <f t="shared" si="20"/>
        <v>55287</v>
      </c>
      <c r="K59" s="44">
        <f t="shared" si="20"/>
        <v>62237</v>
      </c>
      <c r="L59" s="44">
        <f t="shared" ref="L59" si="21">SUM(L60:L61)</f>
        <v>63336</v>
      </c>
    </row>
    <row r="60" spans="2:12" ht="12" customHeight="1" x14ac:dyDescent="0.2">
      <c r="B60" s="18"/>
      <c r="C60" s="19" t="s">
        <v>43</v>
      </c>
      <c r="D60" s="9"/>
      <c r="E60" s="9"/>
      <c r="F60" s="9"/>
      <c r="G60" s="9"/>
      <c r="H60" s="8"/>
      <c r="I60" s="9">
        <f>SUM('_P&amp;L(g) (old)'!H60:K60)</f>
        <v>67788</v>
      </c>
      <c r="J60" s="9">
        <f>SUM('_P&amp;L(g) (old)'!L60:O60)</f>
        <v>53410</v>
      </c>
      <c r="K60" s="10">
        <f>SUM('P&amp;L(q)'!P60:S60)</f>
        <v>60234</v>
      </c>
      <c r="L60" s="10">
        <f>SUM('P&amp;L(q)'!$T60:W60)</f>
        <v>62201</v>
      </c>
    </row>
    <row r="61" spans="2:12" ht="12" customHeight="1" x14ac:dyDescent="0.2">
      <c r="B61" s="18"/>
      <c r="C61" s="19" t="s">
        <v>44</v>
      </c>
      <c r="D61" s="9"/>
      <c r="E61" s="9"/>
      <c r="F61" s="9"/>
      <c r="G61" s="9"/>
      <c r="H61" s="8"/>
      <c r="I61" s="9">
        <f>SUM('_P&amp;L(g) (old)'!H61:K61)</f>
        <v>2617</v>
      </c>
      <c r="J61" s="9">
        <f>SUM('_P&amp;L(g) (old)'!L61:O61)</f>
        <v>1877</v>
      </c>
      <c r="K61" s="10">
        <f>SUM('P&amp;L(q)'!P61:S61)</f>
        <v>2003</v>
      </c>
      <c r="L61" s="10">
        <f>SUM('P&amp;L(q)'!$T61:W61)</f>
        <v>1135</v>
      </c>
    </row>
    <row r="62" spans="2:12" ht="12" customHeight="1" x14ac:dyDescent="0.2">
      <c r="B62" s="187" t="s">
        <v>21</v>
      </c>
      <c r="C62" s="187"/>
      <c r="D62" s="44"/>
      <c r="E62" s="44"/>
      <c r="F62" s="44"/>
      <c r="G62" s="44"/>
      <c r="H62" s="8"/>
      <c r="I62" s="44">
        <f t="shared" ref="I62:L62" si="22">SUM(I63:I64)</f>
        <v>68739</v>
      </c>
      <c r="J62" s="44">
        <f t="shared" si="22"/>
        <v>58776</v>
      </c>
      <c r="K62" s="44">
        <f t="shared" si="22"/>
        <v>59593</v>
      </c>
      <c r="L62" s="44">
        <f t="shared" si="22"/>
        <v>69209</v>
      </c>
    </row>
    <row r="63" spans="2:12" ht="12" customHeight="1" x14ac:dyDescent="0.2">
      <c r="B63" s="18"/>
      <c r="C63" s="19" t="s">
        <v>43</v>
      </c>
      <c r="D63" s="9"/>
      <c r="E63" s="9"/>
      <c r="F63" s="9"/>
      <c r="G63" s="9"/>
      <c r="H63" s="8"/>
      <c r="I63" s="9">
        <f>SUM('_P&amp;L(g) (old)'!H63:K63)</f>
        <v>66090</v>
      </c>
      <c r="J63" s="9">
        <f>SUM('_P&amp;L(g) (old)'!L63:O63)</f>
        <v>56932</v>
      </c>
      <c r="K63" s="10">
        <f>SUM('P&amp;L(q)'!P63:S63)</f>
        <v>57590</v>
      </c>
      <c r="L63" s="10">
        <f>SUM('P&amp;L(q)'!$T63:W63)</f>
        <v>68074</v>
      </c>
    </row>
    <row r="64" spans="2:12" ht="12" customHeight="1" x14ac:dyDescent="0.2">
      <c r="B64" s="18"/>
      <c r="C64" s="19" t="s">
        <v>44</v>
      </c>
      <c r="D64" s="9"/>
      <c r="E64" s="9"/>
      <c r="F64" s="9"/>
      <c r="G64" s="9"/>
      <c r="H64" s="8"/>
      <c r="I64" s="9">
        <f>SUM('_P&amp;L(g) (old)'!H64:K64)</f>
        <v>2649</v>
      </c>
      <c r="J64" s="9">
        <f>SUM('_P&amp;L(g) (old)'!L64:O64)</f>
        <v>1844</v>
      </c>
      <c r="K64" s="10">
        <f>SUM('P&amp;L(q)'!P64:S64)</f>
        <v>2003</v>
      </c>
      <c r="L64" s="10">
        <f>SUM('P&amp;L(q)'!$T64:W64)</f>
        <v>1135</v>
      </c>
    </row>
    <row r="65" spans="2:28" ht="12" customHeight="1" x14ac:dyDescent="0.2">
      <c r="B65" s="1"/>
      <c r="C65" s="2"/>
      <c r="H65" s="8"/>
    </row>
    <row r="66" spans="2:28" ht="12" customHeight="1" x14ac:dyDescent="0.2">
      <c r="B66" s="1"/>
      <c r="C66" s="2"/>
      <c r="H66" s="8"/>
    </row>
    <row r="67" spans="2:28" ht="12" customHeight="1" x14ac:dyDescent="0.2">
      <c r="C67" s="3"/>
    </row>
    <row r="68" spans="2:28" ht="12" customHeight="1" x14ac:dyDescent="0.2">
      <c r="C68" s="3"/>
    </row>
    <row r="69" spans="2:28" ht="12" customHeight="1" x14ac:dyDescent="0.2">
      <c r="C69" s="3"/>
    </row>
    <row r="70" spans="2:28" ht="12" customHeight="1" x14ac:dyDescent="0.2">
      <c r="C70" s="3"/>
    </row>
    <row r="71" spans="2:28" ht="12" customHeight="1" x14ac:dyDescent="0.2">
      <c r="C71" s="3"/>
    </row>
    <row r="74" spans="2:28" ht="12" hidden="1" customHeight="1" outlineLevel="1" x14ac:dyDescent="0.2">
      <c r="C74" s="115" t="s">
        <v>272</v>
      </c>
    </row>
    <row r="75" spans="2:28" s="111" customFormat="1" ht="12" hidden="1" customHeight="1" outlineLevel="1" x14ac:dyDescent="0.2">
      <c r="C75" s="116" t="s">
        <v>267</v>
      </c>
      <c r="R75" s="172"/>
      <c r="S75" s="172"/>
      <c r="T75" s="170"/>
      <c r="U75" s="167"/>
      <c r="V75" s="3"/>
      <c r="W75" s="3"/>
      <c r="X75" s="3"/>
      <c r="Y75" s="3"/>
      <c r="Z75" s="3"/>
      <c r="AA75" s="3"/>
      <c r="AB75" s="3"/>
    </row>
    <row r="76" spans="2:28" ht="12" hidden="1" customHeight="1" outlineLevel="1" x14ac:dyDescent="0.2"/>
    <row r="77" spans="2:28" ht="12" hidden="1" customHeight="1" outlineLevel="1" x14ac:dyDescent="0.2">
      <c r="C77" s="115" t="s">
        <v>273</v>
      </c>
      <c r="I77" s="3">
        <f>'P&amp;L(q)'!K74</f>
        <v>29450307.846575346</v>
      </c>
      <c r="J77" s="3">
        <f>'P&amp;L(q)'!O74</f>
        <v>29253721.175342459</v>
      </c>
      <c r="K77" s="3">
        <f>'P&amp;L(q)'!S74</f>
        <v>29204906.961748611</v>
      </c>
      <c r="L77" s="3">
        <f>'P&amp;L(q)'!W74</f>
        <v>29178619.232876718</v>
      </c>
    </row>
    <row r="78" spans="2:28" ht="12" customHeight="1" collapsed="1" x14ac:dyDescent="0.2"/>
  </sheetData>
  <mergeCells count="25">
    <mergeCell ref="B36:C36"/>
    <mergeCell ref="B20:C20"/>
    <mergeCell ref="B23:C23"/>
    <mergeCell ref="B19:C19"/>
    <mergeCell ref="B7:C8"/>
    <mergeCell ref="B9:C9"/>
    <mergeCell ref="B10:C10"/>
    <mergeCell ref="B13:C13"/>
    <mergeCell ref="B16:C16"/>
    <mergeCell ref="I7:L7"/>
    <mergeCell ref="B59:C59"/>
    <mergeCell ref="B62:C62"/>
    <mergeCell ref="B47:C47"/>
    <mergeCell ref="B24:C24"/>
    <mergeCell ref="B25:C25"/>
    <mergeCell ref="B26:C26"/>
    <mergeCell ref="B48:C48"/>
    <mergeCell ref="B58:C58"/>
    <mergeCell ref="B37:C37"/>
    <mergeCell ref="B39:C39"/>
    <mergeCell ref="B41:C41"/>
    <mergeCell ref="B29:C29"/>
    <mergeCell ref="B30:C30"/>
    <mergeCell ref="B33:C33"/>
    <mergeCell ref="B34:C34"/>
  </mergeCells>
  <pageMargins left="0.78740157480314965" right="0.78740157480314965" top="0.78740157480314965" bottom="1.1811023622047245" header="0.51181102362204722" footer="0.98425196850393704"/>
  <pageSetup paperSize="9" scale="76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61884-C8D4-4A99-B48F-07614DF87939}">
  <sheetPr>
    <tabColor theme="4" tint="0.59999389629810485"/>
    <pageSetUpPr fitToPage="1"/>
  </sheetPr>
  <dimension ref="B1:AM97"/>
  <sheetViews>
    <sheetView showGridLines="0" zoomScaleNormal="100" zoomScaleSheetLayoutView="100" workbookViewId="0">
      <pane xSplit="3" ySplit="9" topLeftCell="D10" activePane="bottomRight" state="frozen"/>
      <selection pane="topRight"/>
      <selection pane="bottomLeft"/>
      <selection pane="bottomRight" activeCell="Y32" sqref="Y32"/>
    </sheetView>
  </sheetViews>
  <sheetFormatPr defaultRowHeight="12" customHeight="1" x14ac:dyDescent="0.2"/>
  <cols>
    <col min="1" max="1" width="1.140625" style="29" customWidth="1"/>
    <col min="2" max="2" width="2.5703125" style="29" customWidth="1"/>
    <col min="3" max="3" width="63.5703125" style="29" customWidth="1"/>
    <col min="4" max="24" width="9.28515625" style="29" customWidth="1"/>
    <col min="25" max="25" width="22.7109375" style="158" customWidth="1"/>
    <col min="26" max="26" width="4.5703125" style="158" customWidth="1"/>
    <col min="27" max="27" width="28.85546875" style="29" customWidth="1"/>
    <col min="28" max="28" width="9.140625" style="158"/>
    <col min="29" max="29" width="21.42578125" style="158" customWidth="1"/>
    <col min="30" max="30" width="9.140625" style="158"/>
    <col min="31" max="262" width="9.140625" style="29"/>
    <col min="263" max="263" width="2.5703125" style="29" customWidth="1"/>
    <col min="264" max="264" width="60.7109375" style="29" customWidth="1"/>
    <col min="265" max="265" width="10.7109375" style="29" customWidth="1"/>
    <col min="266" max="267" width="15.7109375" style="29" customWidth="1"/>
    <col min="268" max="268" width="9.28515625" style="29" bestFit="1" customWidth="1"/>
    <col min="269" max="279" width="14.7109375" style="29" customWidth="1"/>
    <col min="280" max="518" width="9.140625" style="29"/>
    <col min="519" max="519" width="2.5703125" style="29" customWidth="1"/>
    <col min="520" max="520" width="60.7109375" style="29" customWidth="1"/>
    <col min="521" max="521" width="10.7109375" style="29" customWidth="1"/>
    <col min="522" max="523" width="15.7109375" style="29" customWidth="1"/>
    <col min="524" max="524" width="9.28515625" style="29" bestFit="1" customWidth="1"/>
    <col min="525" max="535" width="14.7109375" style="29" customWidth="1"/>
    <col min="536" max="774" width="9.140625" style="29"/>
    <col min="775" max="775" width="2.5703125" style="29" customWidth="1"/>
    <col min="776" max="776" width="60.7109375" style="29" customWidth="1"/>
    <col min="777" max="777" width="10.7109375" style="29" customWidth="1"/>
    <col min="778" max="779" width="15.7109375" style="29" customWidth="1"/>
    <col min="780" max="780" width="9.28515625" style="29" bestFit="1" customWidth="1"/>
    <col min="781" max="791" width="14.7109375" style="29" customWidth="1"/>
    <col min="792" max="1030" width="9.140625" style="29"/>
    <col min="1031" max="1031" width="2.5703125" style="29" customWidth="1"/>
    <col min="1032" max="1032" width="60.7109375" style="29" customWidth="1"/>
    <col min="1033" max="1033" width="10.7109375" style="29" customWidth="1"/>
    <col min="1034" max="1035" width="15.7109375" style="29" customWidth="1"/>
    <col min="1036" max="1036" width="9.28515625" style="29" bestFit="1" customWidth="1"/>
    <col min="1037" max="1047" width="14.7109375" style="29" customWidth="1"/>
    <col min="1048" max="1286" width="9.140625" style="29"/>
    <col min="1287" max="1287" width="2.5703125" style="29" customWidth="1"/>
    <col min="1288" max="1288" width="60.7109375" style="29" customWidth="1"/>
    <col min="1289" max="1289" width="10.7109375" style="29" customWidth="1"/>
    <col min="1290" max="1291" width="15.7109375" style="29" customWidth="1"/>
    <col min="1292" max="1292" width="9.28515625" style="29" bestFit="1" customWidth="1"/>
    <col min="1293" max="1303" width="14.7109375" style="29" customWidth="1"/>
    <col min="1304" max="1542" width="9.140625" style="29"/>
    <col min="1543" max="1543" width="2.5703125" style="29" customWidth="1"/>
    <col min="1544" max="1544" width="60.7109375" style="29" customWidth="1"/>
    <col min="1545" max="1545" width="10.7109375" style="29" customWidth="1"/>
    <col min="1546" max="1547" width="15.7109375" style="29" customWidth="1"/>
    <col min="1548" max="1548" width="9.28515625" style="29" bestFit="1" customWidth="1"/>
    <col min="1549" max="1559" width="14.7109375" style="29" customWidth="1"/>
    <col min="1560" max="1798" width="9.140625" style="29"/>
    <col min="1799" max="1799" width="2.5703125" style="29" customWidth="1"/>
    <col min="1800" max="1800" width="60.7109375" style="29" customWidth="1"/>
    <col min="1801" max="1801" width="10.7109375" style="29" customWidth="1"/>
    <col min="1802" max="1803" width="15.7109375" style="29" customWidth="1"/>
    <col min="1804" max="1804" width="9.28515625" style="29" bestFit="1" customWidth="1"/>
    <col min="1805" max="1815" width="14.7109375" style="29" customWidth="1"/>
    <col min="1816" max="2054" width="9.140625" style="29"/>
    <col min="2055" max="2055" width="2.5703125" style="29" customWidth="1"/>
    <col min="2056" max="2056" width="60.7109375" style="29" customWidth="1"/>
    <col min="2057" max="2057" width="10.7109375" style="29" customWidth="1"/>
    <col min="2058" max="2059" width="15.7109375" style="29" customWidth="1"/>
    <col min="2060" max="2060" width="9.28515625" style="29" bestFit="1" customWidth="1"/>
    <col min="2061" max="2071" width="14.7109375" style="29" customWidth="1"/>
    <col min="2072" max="2310" width="9.140625" style="29"/>
    <col min="2311" max="2311" width="2.5703125" style="29" customWidth="1"/>
    <col min="2312" max="2312" width="60.7109375" style="29" customWidth="1"/>
    <col min="2313" max="2313" width="10.7109375" style="29" customWidth="1"/>
    <col min="2314" max="2315" width="15.7109375" style="29" customWidth="1"/>
    <col min="2316" max="2316" width="9.28515625" style="29" bestFit="1" customWidth="1"/>
    <col min="2317" max="2327" width="14.7109375" style="29" customWidth="1"/>
    <col min="2328" max="2566" width="9.140625" style="29"/>
    <col min="2567" max="2567" width="2.5703125" style="29" customWidth="1"/>
    <col min="2568" max="2568" width="60.7109375" style="29" customWidth="1"/>
    <col min="2569" max="2569" width="10.7109375" style="29" customWidth="1"/>
    <col min="2570" max="2571" width="15.7109375" style="29" customWidth="1"/>
    <col min="2572" max="2572" width="9.28515625" style="29" bestFit="1" customWidth="1"/>
    <col min="2573" max="2583" width="14.7109375" style="29" customWidth="1"/>
    <col min="2584" max="2822" width="9.140625" style="29"/>
    <col min="2823" max="2823" width="2.5703125" style="29" customWidth="1"/>
    <col min="2824" max="2824" width="60.7109375" style="29" customWidth="1"/>
    <col min="2825" max="2825" width="10.7109375" style="29" customWidth="1"/>
    <col min="2826" max="2827" width="15.7109375" style="29" customWidth="1"/>
    <col min="2828" max="2828" width="9.28515625" style="29" bestFit="1" customWidth="1"/>
    <col min="2829" max="2839" width="14.7109375" style="29" customWidth="1"/>
    <col min="2840" max="3078" width="9.140625" style="29"/>
    <col min="3079" max="3079" width="2.5703125" style="29" customWidth="1"/>
    <col min="3080" max="3080" width="60.7109375" style="29" customWidth="1"/>
    <col min="3081" max="3081" width="10.7109375" style="29" customWidth="1"/>
    <col min="3082" max="3083" width="15.7109375" style="29" customWidth="1"/>
    <col min="3084" max="3084" width="9.28515625" style="29" bestFit="1" customWidth="1"/>
    <col min="3085" max="3095" width="14.7109375" style="29" customWidth="1"/>
    <col min="3096" max="3334" width="9.140625" style="29"/>
    <col min="3335" max="3335" width="2.5703125" style="29" customWidth="1"/>
    <col min="3336" max="3336" width="60.7109375" style="29" customWidth="1"/>
    <col min="3337" max="3337" width="10.7109375" style="29" customWidth="1"/>
    <col min="3338" max="3339" width="15.7109375" style="29" customWidth="1"/>
    <col min="3340" max="3340" width="9.28515625" style="29" bestFit="1" customWidth="1"/>
    <col min="3341" max="3351" width="14.7109375" style="29" customWidth="1"/>
    <col min="3352" max="3590" width="9.140625" style="29"/>
    <col min="3591" max="3591" width="2.5703125" style="29" customWidth="1"/>
    <col min="3592" max="3592" width="60.7109375" style="29" customWidth="1"/>
    <col min="3593" max="3593" width="10.7109375" style="29" customWidth="1"/>
    <col min="3594" max="3595" width="15.7109375" style="29" customWidth="1"/>
    <col min="3596" max="3596" width="9.28515625" style="29" bestFit="1" customWidth="1"/>
    <col min="3597" max="3607" width="14.7109375" style="29" customWidth="1"/>
    <col min="3608" max="3846" width="9.140625" style="29"/>
    <col min="3847" max="3847" width="2.5703125" style="29" customWidth="1"/>
    <col min="3848" max="3848" width="60.7109375" style="29" customWidth="1"/>
    <col min="3849" max="3849" width="10.7109375" style="29" customWidth="1"/>
    <col min="3850" max="3851" width="15.7109375" style="29" customWidth="1"/>
    <col min="3852" max="3852" width="9.28515625" style="29" bestFit="1" customWidth="1"/>
    <col min="3853" max="3863" width="14.7109375" style="29" customWidth="1"/>
    <col min="3864" max="4102" width="9.140625" style="29"/>
    <col min="4103" max="4103" width="2.5703125" style="29" customWidth="1"/>
    <col min="4104" max="4104" width="60.7109375" style="29" customWidth="1"/>
    <col min="4105" max="4105" width="10.7109375" style="29" customWidth="1"/>
    <col min="4106" max="4107" width="15.7109375" style="29" customWidth="1"/>
    <col min="4108" max="4108" width="9.28515625" style="29" bestFit="1" customWidth="1"/>
    <col min="4109" max="4119" width="14.7109375" style="29" customWidth="1"/>
    <col min="4120" max="4358" width="9.140625" style="29"/>
    <col min="4359" max="4359" width="2.5703125" style="29" customWidth="1"/>
    <col min="4360" max="4360" width="60.7109375" style="29" customWidth="1"/>
    <col min="4361" max="4361" width="10.7109375" style="29" customWidth="1"/>
    <col min="4362" max="4363" width="15.7109375" style="29" customWidth="1"/>
    <col min="4364" max="4364" width="9.28515625" style="29" bestFit="1" customWidth="1"/>
    <col min="4365" max="4375" width="14.7109375" style="29" customWidth="1"/>
    <col min="4376" max="4614" width="9.140625" style="29"/>
    <col min="4615" max="4615" width="2.5703125" style="29" customWidth="1"/>
    <col min="4616" max="4616" width="60.7109375" style="29" customWidth="1"/>
    <col min="4617" max="4617" width="10.7109375" style="29" customWidth="1"/>
    <col min="4618" max="4619" width="15.7109375" style="29" customWidth="1"/>
    <col min="4620" max="4620" width="9.28515625" style="29" bestFit="1" customWidth="1"/>
    <col min="4621" max="4631" width="14.7109375" style="29" customWidth="1"/>
    <col min="4632" max="4870" width="9.140625" style="29"/>
    <col min="4871" max="4871" width="2.5703125" style="29" customWidth="1"/>
    <col min="4872" max="4872" width="60.7109375" style="29" customWidth="1"/>
    <col min="4873" max="4873" width="10.7109375" style="29" customWidth="1"/>
    <col min="4874" max="4875" width="15.7109375" style="29" customWidth="1"/>
    <col min="4876" max="4876" width="9.28515625" style="29" bestFit="1" customWidth="1"/>
    <col min="4877" max="4887" width="14.7109375" style="29" customWidth="1"/>
    <col min="4888" max="5126" width="9.140625" style="29"/>
    <col min="5127" max="5127" width="2.5703125" style="29" customWidth="1"/>
    <col min="5128" max="5128" width="60.7109375" style="29" customWidth="1"/>
    <col min="5129" max="5129" width="10.7109375" style="29" customWidth="1"/>
    <col min="5130" max="5131" width="15.7109375" style="29" customWidth="1"/>
    <col min="5132" max="5132" width="9.28515625" style="29" bestFit="1" customWidth="1"/>
    <col min="5133" max="5143" width="14.7109375" style="29" customWidth="1"/>
    <col min="5144" max="5382" width="9.140625" style="29"/>
    <col min="5383" max="5383" width="2.5703125" style="29" customWidth="1"/>
    <col min="5384" max="5384" width="60.7109375" style="29" customWidth="1"/>
    <col min="5385" max="5385" width="10.7109375" style="29" customWidth="1"/>
    <col min="5386" max="5387" width="15.7109375" style="29" customWidth="1"/>
    <col min="5388" max="5388" width="9.28515625" style="29" bestFit="1" customWidth="1"/>
    <col min="5389" max="5399" width="14.7109375" style="29" customWidth="1"/>
    <col min="5400" max="5638" width="9.140625" style="29"/>
    <col min="5639" max="5639" width="2.5703125" style="29" customWidth="1"/>
    <col min="5640" max="5640" width="60.7109375" style="29" customWidth="1"/>
    <col min="5641" max="5641" width="10.7109375" style="29" customWidth="1"/>
    <col min="5642" max="5643" width="15.7109375" style="29" customWidth="1"/>
    <col min="5644" max="5644" width="9.28515625" style="29" bestFit="1" customWidth="1"/>
    <col min="5645" max="5655" width="14.7109375" style="29" customWidth="1"/>
    <col min="5656" max="5894" width="9.140625" style="29"/>
    <col min="5895" max="5895" width="2.5703125" style="29" customWidth="1"/>
    <col min="5896" max="5896" width="60.7109375" style="29" customWidth="1"/>
    <col min="5897" max="5897" width="10.7109375" style="29" customWidth="1"/>
    <col min="5898" max="5899" width="15.7109375" style="29" customWidth="1"/>
    <col min="5900" max="5900" width="9.28515625" style="29" bestFit="1" customWidth="1"/>
    <col min="5901" max="5911" width="14.7109375" style="29" customWidth="1"/>
    <col min="5912" max="6150" width="9.140625" style="29"/>
    <col min="6151" max="6151" width="2.5703125" style="29" customWidth="1"/>
    <col min="6152" max="6152" width="60.7109375" style="29" customWidth="1"/>
    <col min="6153" max="6153" width="10.7109375" style="29" customWidth="1"/>
    <col min="6154" max="6155" width="15.7109375" style="29" customWidth="1"/>
    <col min="6156" max="6156" width="9.28515625" style="29" bestFit="1" customWidth="1"/>
    <col min="6157" max="6167" width="14.7109375" style="29" customWidth="1"/>
    <col min="6168" max="6406" width="9.140625" style="29"/>
    <col min="6407" max="6407" width="2.5703125" style="29" customWidth="1"/>
    <col min="6408" max="6408" width="60.7109375" style="29" customWidth="1"/>
    <col min="6409" max="6409" width="10.7109375" style="29" customWidth="1"/>
    <col min="6410" max="6411" width="15.7109375" style="29" customWidth="1"/>
    <col min="6412" max="6412" width="9.28515625" style="29" bestFit="1" customWidth="1"/>
    <col min="6413" max="6423" width="14.7109375" style="29" customWidth="1"/>
    <col min="6424" max="6662" width="9.140625" style="29"/>
    <col min="6663" max="6663" width="2.5703125" style="29" customWidth="1"/>
    <col min="6664" max="6664" width="60.7109375" style="29" customWidth="1"/>
    <col min="6665" max="6665" width="10.7109375" style="29" customWidth="1"/>
    <col min="6666" max="6667" width="15.7109375" style="29" customWidth="1"/>
    <col min="6668" max="6668" width="9.28515625" style="29" bestFit="1" customWidth="1"/>
    <col min="6669" max="6679" width="14.7109375" style="29" customWidth="1"/>
    <col min="6680" max="6918" width="9.140625" style="29"/>
    <col min="6919" max="6919" width="2.5703125" style="29" customWidth="1"/>
    <col min="6920" max="6920" width="60.7109375" style="29" customWidth="1"/>
    <col min="6921" max="6921" width="10.7109375" style="29" customWidth="1"/>
    <col min="6922" max="6923" width="15.7109375" style="29" customWidth="1"/>
    <col min="6924" max="6924" width="9.28515625" style="29" bestFit="1" customWidth="1"/>
    <col min="6925" max="6935" width="14.7109375" style="29" customWidth="1"/>
    <col min="6936" max="7174" width="9.140625" style="29"/>
    <col min="7175" max="7175" width="2.5703125" style="29" customWidth="1"/>
    <col min="7176" max="7176" width="60.7109375" style="29" customWidth="1"/>
    <col min="7177" max="7177" width="10.7109375" style="29" customWidth="1"/>
    <col min="7178" max="7179" width="15.7109375" style="29" customWidth="1"/>
    <col min="7180" max="7180" width="9.28515625" style="29" bestFit="1" customWidth="1"/>
    <col min="7181" max="7191" width="14.7109375" style="29" customWidth="1"/>
    <col min="7192" max="7430" width="9.140625" style="29"/>
    <col min="7431" max="7431" width="2.5703125" style="29" customWidth="1"/>
    <col min="7432" max="7432" width="60.7109375" style="29" customWidth="1"/>
    <col min="7433" max="7433" width="10.7109375" style="29" customWidth="1"/>
    <col min="7434" max="7435" width="15.7109375" style="29" customWidth="1"/>
    <col min="7436" max="7436" width="9.28515625" style="29" bestFit="1" customWidth="1"/>
    <col min="7437" max="7447" width="14.7109375" style="29" customWidth="1"/>
    <col min="7448" max="7686" width="9.140625" style="29"/>
    <col min="7687" max="7687" width="2.5703125" style="29" customWidth="1"/>
    <col min="7688" max="7688" width="60.7109375" style="29" customWidth="1"/>
    <col min="7689" max="7689" width="10.7109375" style="29" customWidth="1"/>
    <col min="7690" max="7691" width="15.7109375" style="29" customWidth="1"/>
    <col min="7692" max="7692" width="9.28515625" style="29" bestFit="1" customWidth="1"/>
    <col min="7693" max="7703" width="14.7109375" style="29" customWidth="1"/>
    <col min="7704" max="7942" width="9.140625" style="29"/>
    <col min="7943" max="7943" width="2.5703125" style="29" customWidth="1"/>
    <col min="7944" max="7944" width="60.7109375" style="29" customWidth="1"/>
    <col min="7945" max="7945" width="10.7109375" style="29" customWidth="1"/>
    <col min="7946" max="7947" width="15.7109375" style="29" customWidth="1"/>
    <col min="7948" max="7948" width="9.28515625" style="29" bestFit="1" customWidth="1"/>
    <col min="7949" max="7959" width="14.7109375" style="29" customWidth="1"/>
    <col min="7960" max="8198" width="9.140625" style="29"/>
    <col min="8199" max="8199" width="2.5703125" style="29" customWidth="1"/>
    <col min="8200" max="8200" width="60.7109375" style="29" customWidth="1"/>
    <col min="8201" max="8201" width="10.7109375" style="29" customWidth="1"/>
    <col min="8202" max="8203" width="15.7109375" style="29" customWidth="1"/>
    <col min="8204" max="8204" width="9.28515625" style="29" bestFit="1" customWidth="1"/>
    <col min="8205" max="8215" width="14.7109375" style="29" customWidth="1"/>
    <col min="8216" max="8454" width="9.140625" style="29"/>
    <col min="8455" max="8455" width="2.5703125" style="29" customWidth="1"/>
    <col min="8456" max="8456" width="60.7109375" style="29" customWidth="1"/>
    <col min="8457" max="8457" width="10.7109375" style="29" customWidth="1"/>
    <col min="8458" max="8459" width="15.7109375" style="29" customWidth="1"/>
    <col min="8460" max="8460" width="9.28515625" style="29" bestFit="1" customWidth="1"/>
    <col min="8461" max="8471" width="14.7109375" style="29" customWidth="1"/>
    <col min="8472" max="8710" width="9.140625" style="29"/>
    <col min="8711" max="8711" width="2.5703125" style="29" customWidth="1"/>
    <col min="8712" max="8712" width="60.7109375" style="29" customWidth="1"/>
    <col min="8713" max="8713" width="10.7109375" style="29" customWidth="1"/>
    <col min="8714" max="8715" width="15.7109375" style="29" customWidth="1"/>
    <col min="8716" max="8716" width="9.28515625" style="29" bestFit="1" customWidth="1"/>
    <col min="8717" max="8727" width="14.7109375" style="29" customWidth="1"/>
    <col min="8728" max="8966" width="9.140625" style="29"/>
    <col min="8967" max="8967" width="2.5703125" style="29" customWidth="1"/>
    <col min="8968" max="8968" width="60.7109375" style="29" customWidth="1"/>
    <col min="8969" max="8969" width="10.7109375" style="29" customWidth="1"/>
    <col min="8970" max="8971" width="15.7109375" style="29" customWidth="1"/>
    <col min="8972" max="8972" width="9.28515625" style="29" bestFit="1" customWidth="1"/>
    <col min="8973" max="8983" width="14.7109375" style="29" customWidth="1"/>
    <col min="8984" max="9222" width="9.140625" style="29"/>
    <col min="9223" max="9223" width="2.5703125" style="29" customWidth="1"/>
    <col min="9224" max="9224" width="60.7109375" style="29" customWidth="1"/>
    <col min="9225" max="9225" width="10.7109375" style="29" customWidth="1"/>
    <col min="9226" max="9227" width="15.7109375" style="29" customWidth="1"/>
    <col min="9228" max="9228" width="9.28515625" style="29" bestFit="1" customWidth="1"/>
    <col min="9229" max="9239" width="14.7109375" style="29" customWidth="1"/>
    <col min="9240" max="9478" width="9.140625" style="29"/>
    <col min="9479" max="9479" width="2.5703125" style="29" customWidth="1"/>
    <col min="9480" max="9480" width="60.7109375" style="29" customWidth="1"/>
    <col min="9481" max="9481" width="10.7109375" style="29" customWidth="1"/>
    <col min="9482" max="9483" width="15.7109375" style="29" customWidth="1"/>
    <col min="9484" max="9484" width="9.28515625" style="29" bestFit="1" customWidth="1"/>
    <col min="9485" max="9495" width="14.7109375" style="29" customWidth="1"/>
    <col min="9496" max="9734" width="9.140625" style="29"/>
    <col min="9735" max="9735" width="2.5703125" style="29" customWidth="1"/>
    <col min="9736" max="9736" width="60.7109375" style="29" customWidth="1"/>
    <col min="9737" max="9737" width="10.7109375" style="29" customWidth="1"/>
    <col min="9738" max="9739" width="15.7109375" style="29" customWidth="1"/>
    <col min="9740" max="9740" width="9.28515625" style="29" bestFit="1" customWidth="1"/>
    <col min="9741" max="9751" width="14.7109375" style="29" customWidth="1"/>
    <col min="9752" max="9990" width="9.140625" style="29"/>
    <col min="9991" max="9991" width="2.5703125" style="29" customWidth="1"/>
    <col min="9992" max="9992" width="60.7109375" style="29" customWidth="1"/>
    <col min="9993" max="9993" width="10.7109375" style="29" customWidth="1"/>
    <col min="9994" max="9995" width="15.7109375" style="29" customWidth="1"/>
    <col min="9996" max="9996" width="9.28515625" style="29" bestFit="1" customWidth="1"/>
    <col min="9997" max="10007" width="14.7109375" style="29" customWidth="1"/>
    <col min="10008" max="10246" width="9.140625" style="29"/>
    <col min="10247" max="10247" width="2.5703125" style="29" customWidth="1"/>
    <col min="10248" max="10248" width="60.7109375" style="29" customWidth="1"/>
    <col min="10249" max="10249" width="10.7109375" style="29" customWidth="1"/>
    <col min="10250" max="10251" width="15.7109375" style="29" customWidth="1"/>
    <col min="10252" max="10252" width="9.28515625" style="29" bestFit="1" customWidth="1"/>
    <col min="10253" max="10263" width="14.7109375" style="29" customWidth="1"/>
    <col min="10264" max="10502" width="9.140625" style="29"/>
    <col min="10503" max="10503" width="2.5703125" style="29" customWidth="1"/>
    <col min="10504" max="10504" width="60.7109375" style="29" customWidth="1"/>
    <col min="10505" max="10505" width="10.7109375" style="29" customWidth="1"/>
    <col min="10506" max="10507" width="15.7109375" style="29" customWidth="1"/>
    <col min="10508" max="10508" width="9.28515625" style="29" bestFit="1" customWidth="1"/>
    <col min="10509" max="10519" width="14.7109375" style="29" customWidth="1"/>
    <col min="10520" max="10758" width="9.140625" style="29"/>
    <col min="10759" max="10759" width="2.5703125" style="29" customWidth="1"/>
    <col min="10760" max="10760" width="60.7109375" style="29" customWidth="1"/>
    <col min="10761" max="10761" width="10.7109375" style="29" customWidth="1"/>
    <col min="10762" max="10763" width="15.7109375" style="29" customWidth="1"/>
    <col min="10764" max="10764" width="9.28515625" style="29" bestFit="1" customWidth="1"/>
    <col min="10765" max="10775" width="14.7109375" style="29" customWidth="1"/>
    <col min="10776" max="11014" width="9.140625" style="29"/>
    <col min="11015" max="11015" width="2.5703125" style="29" customWidth="1"/>
    <col min="11016" max="11016" width="60.7109375" style="29" customWidth="1"/>
    <col min="11017" max="11017" width="10.7109375" style="29" customWidth="1"/>
    <col min="11018" max="11019" width="15.7109375" style="29" customWidth="1"/>
    <col min="11020" max="11020" width="9.28515625" style="29" bestFit="1" customWidth="1"/>
    <col min="11021" max="11031" width="14.7109375" style="29" customWidth="1"/>
    <col min="11032" max="11270" width="9.140625" style="29"/>
    <col min="11271" max="11271" width="2.5703125" style="29" customWidth="1"/>
    <col min="11272" max="11272" width="60.7109375" style="29" customWidth="1"/>
    <col min="11273" max="11273" width="10.7109375" style="29" customWidth="1"/>
    <col min="11274" max="11275" width="15.7109375" style="29" customWidth="1"/>
    <col min="11276" max="11276" width="9.28515625" style="29" bestFit="1" customWidth="1"/>
    <col min="11277" max="11287" width="14.7109375" style="29" customWidth="1"/>
    <col min="11288" max="11526" width="9.140625" style="29"/>
    <col min="11527" max="11527" width="2.5703125" style="29" customWidth="1"/>
    <col min="11528" max="11528" width="60.7109375" style="29" customWidth="1"/>
    <col min="11529" max="11529" width="10.7109375" style="29" customWidth="1"/>
    <col min="11530" max="11531" width="15.7109375" style="29" customWidth="1"/>
    <col min="11532" max="11532" width="9.28515625" style="29" bestFit="1" customWidth="1"/>
    <col min="11533" max="11543" width="14.7109375" style="29" customWidth="1"/>
    <col min="11544" max="11782" width="9.140625" style="29"/>
    <col min="11783" max="11783" width="2.5703125" style="29" customWidth="1"/>
    <col min="11784" max="11784" width="60.7109375" style="29" customWidth="1"/>
    <col min="11785" max="11785" width="10.7109375" style="29" customWidth="1"/>
    <col min="11786" max="11787" width="15.7109375" style="29" customWidth="1"/>
    <col min="11788" max="11788" width="9.28515625" style="29" bestFit="1" customWidth="1"/>
    <col min="11789" max="11799" width="14.7109375" style="29" customWidth="1"/>
    <col min="11800" max="12038" width="9.140625" style="29"/>
    <col min="12039" max="12039" width="2.5703125" style="29" customWidth="1"/>
    <col min="12040" max="12040" width="60.7109375" style="29" customWidth="1"/>
    <col min="12041" max="12041" width="10.7109375" style="29" customWidth="1"/>
    <col min="12042" max="12043" width="15.7109375" style="29" customWidth="1"/>
    <col min="12044" max="12044" width="9.28515625" style="29" bestFit="1" customWidth="1"/>
    <col min="12045" max="12055" width="14.7109375" style="29" customWidth="1"/>
    <col min="12056" max="12294" width="9.140625" style="29"/>
    <col min="12295" max="12295" width="2.5703125" style="29" customWidth="1"/>
    <col min="12296" max="12296" width="60.7109375" style="29" customWidth="1"/>
    <col min="12297" max="12297" width="10.7109375" style="29" customWidth="1"/>
    <col min="12298" max="12299" width="15.7109375" style="29" customWidth="1"/>
    <col min="12300" max="12300" width="9.28515625" style="29" bestFit="1" customWidth="1"/>
    <col min="12301" max="12311" width="14.7109375" style="29" customWidth="1"/>
    <col min="12312" max="12550" width="9.140625" style="29"/>
    <col min="12551" max="12551" width="2.5703125" style="29" customWidth="1"/>
    <col min="12552" max="12552" width="60.7109375" style="29" customWidth="1"/>
    <col min="12553" max="12553" width="10.7109375" style="29" customWidth="1"/>
    <col min="12554" max="12555" width="15.7109375" style="29" customWidth="1"/>
    <col min="12556" max="12556" width="9.28515625" style="29" bestFit="1" customWidth="1"/>
    <col min="12557" max="12567" width="14.7109375" style="29" customWidth="1"/>
    <col min="12568" max="12806" width="9.140625" style="29"/>
    <col min="12807" max="12807" width="2.5703125" style="29" customWidth="1"/>
    <col min="12808" max="12808" width="60.7109375" style="29" customWidth="1"/>
    <col min="12809" max="12809" width="10.7109375" style="29" customWidth="1"/>
    <col min="12810" max="12811" width="15.7109375" style="29" customWidth="1"/>
    <col min="12812" max="12812" width="9.28515625" style="29" bestFit="1" customWidth="1"/>
    <col min="12813" max="12823" width="14.7109375" style="29" customWidth="1"/>
    <col min="12824" max="13062" width="9.140625" style="29"/>
    <col min="13063" max="13063" width="2.5703125" style="29" customWidth="1"/>
    <col min="13064" max="13064" width="60.7109375" style="29" customWidth="1"/>
    <col min="13065" max="13065" width="10.7109375" style="29" customWidth="1"/>
    <col min="13066" max="13067" width="15.7109375" style="29" customWidth="1"/>
    <col min="13068" max="13068" width="9.28515625" style="29" bestFit="1" customWidth="1"/>
    <col min="13069" max="13079" width="14.7109375" style="29" customWidth="1"/>
    <col min="13080" max="13318" width="9.140625" style="29"/>
    <col min="13319" max="13319" width="2.5703125" style="29" customWidth="1"/>
    <col min="13320" max="13320" width="60.7109375" style="29" customWidth="1"/>
    <col min="13321" max="13321" width="10.7109375" style="29" customWidth="1"/>
    <col min="13322" max="13323" width="15.7109375" style="29" customWidth="1"/>
    <col min="13324" max="13324" width="9.28515625" style="29" bestFit="1" customWidth="1"/>
    <col min="13325" max="13335" width="14.7109375" style="29" customWidth="1"/>
    <col min="13336" max="13574" width="9.140625" style="29"/>
    <col min="13575" max="13575" width="2.5703125" style="29" customWidth="1"/>
    <col min="13576" max="13576" width="60.7109375" style="29" customWidth="1"/>
    <col min="13577" max="13577" width="10.7109375" style="29" customWidth="1"/>
    <col min="13578" max="13579" width="15.7109375" style="29" customWidth="1"/>
    <col min="13580" max="13580" width="9.28515625" style="29" bestFit="1" customWidth="1"/>
    <col min="13581" max="13591" width="14.7109375" style="29" customWidth="1"/>
    <col min="13592" max="13830" width="9.140625" style="29"/>
    <col min="13831" max="13831" width="2.5703125" style="29" customWidth="1"/>
    <col min="13832" max="13832" width="60.7109375" style="29" customWidth="1"/>
    <col min="13833" max="13833" width="10.7109375" style="29" customWidth="1"/>
    <col min="13834" max="13835" width="15.7109375" style="29" customWidth="1"/>
    <col min="13836" max="13836" width="9.28515625" style="29" bestFit="1" customWidth="1"/>
    <col min="13837" max="13847" width="14.7109375" style="29" customWidth="1"/>
    <col min="13848" max="14086" width="9.140625" style="29"/>
    <col min="14087" max="14087" width="2.5703125" style="29" customWidth="1"/>
    <col min="14088" max="14088" width="60.7109375" style="29" customWidth="1"/>
    <col min="14089" max="14089" width="10.7109375" style="29" customWidth="1"/>
    <col min="14090" max="14091" width="15.7109375" style="29" customWidth="1"/>
    <col min="14092" max="14092" width="9.28515625" style="29" bestFit="1" customWidth="1"/>
    <col min="14093" max="14103" width="14.7109375" style="29" customWidth="1"/>
    <col min="14104" max="14342" width="9.140625" style="29"/>
    <col min="14343" max="14343" width="2.5703125" style="29" customWidth="1"/>
    <col min="14344" max="14344" width="60.7109375" style="29" customWidth="1"/>
    <col min="14345" max="14345" width="10.7109375" style="29" customWidth="1"/>
    <col min="14346" max="14347" width="15.7109375" style="29" customWidth="1"/>
    <col min="14348" max="14348" width="9.28515625" style="29" bestFit="1" customWidth="1"/>
    <col min="14349" max="14359" width="14.7109375" style="29" customWidth="1"/>
    <col min="14360" max="14598" width="9.140625" style="29"/>
    <col min="14599" max="14599" width="2.5703125" style="29" customWidth="1"/>
    <col min="14600" max="14600" width="60.7109375" style="29" customWidth="1"/>
    <col min="14601" max="14601" width="10.7109375" style="29" customWidth="1"/>
    <col min="14602" max="14603" width="15.7109375" style="29" customWidth="1"/>
    <col min="14604" max="14604" width="9.28515625" style="29" bestFit="1" customWidth="1"/>
    <col min="14605" max="14615" width="14.7109375" style="29" customWidth="1"/>
    <col min="14616" max="14854" width="9.140625" style="29"/>
    <col min="14855" max="14855" width="2.5703125" style="29" customWidth="1"/>
    <col min="14856" max="14856" width="60.7109375" style="29" customWidth="1"/>
    <col min="14857" max="14857" width="10.7109375" style="29" customWidth="1"/>
    <col min="14858" max="14859" width="15.7109375" style="29" customWidth="1"/>
    <col min="14860" max="14860" width="9.28515625" style="29" bestFit="1" customWidth="1"/>
    <col min="14861" max="14871" width="14.7109375" style="29" customWidth="1"/>
    <col min="14872" max="15110" width="9.140625" style="29"/>
    <col min="15111" max="15111" width="2.5703125" style="29" customWidth="1"/>
    <col min="15112" max="15112" width="60.7109375" style="29" customWidth="1"/>
    <col min="15113" max="15113" width="10.7109375" style="29" customWidth="1"/>
    <col min="15114" max="15115" width="15.7109375" style="29" customWidth="1"/>
    <col min="15116" max="15116" width="9.28515625" style="29" bestFit="1" customWidth="1"/>
    <col min="15117" max="15127" width="14.7109375" style="29" customWidth="1"/>
    <col min="15128" max="15366" width="9.140625" style="29"/>
    <col min="15367" max="15367" width="2.5703125" style="29" customWidth="1"/>
    <col min="15368" max="15368" width="60.7109375" style="29" customWidth="1"/>
    <col min="15369" max="15369" width="10.7109375" style="29" customWidth="1"/>
    <col min="15370" max="15371" width="15.7109375" style="29" customWidth="1"/>
    <col min="15372" max="15372" width="9.28515625" style="29" bestFit="1" customWidth="1"/>
    <col min="15373" max="15383" width="14.7109375" style="29" customWidth="1"/>
    <col min="15384" max="15622" width="9.140625" style="29"/>
    <col min="15623" max="15623" width="2.5703125" style="29" customWidth="1"/>
    <col min="15624" max="15624" width="60.7109375" style="29" customWidth="1"/>
    <col min="15625" max="15625" width="10.7109375" style="29" customWidth="1"/>
    <col min="15626" max="15627" width="15.7109375" style="29" customWidth="1"/>
    <col min="15628" max="15628" width="9.28515625" style="29" bestFit="1" customWidth="1"/>
    <col min="15629" max="15639" width="14.7109375" style="29" customWidth="1"/>
    <col min="15640" max="15878" width="9.140625" style="29"/>
    <col min="15879" max="15879" width="2.5703125" style="29" customWidth="1"/>
    <col min="15880" max="15880" width="60.7109375" style="29" customWidth="1"/>
    <col min="15881" max="15881" width="10.7109375" style="29" customWidth="1"/>
    <col min="15882" max="15883" width="15.7109375" style="29" customWidth="1"/>
    <col min="15884" max="15884" width="9.28515625" style="29" bestFit="1" customWidth="1"/>
    <col min="15885" max="15895" width="14.7109375" style="29" customWidth="1"/>
    <col min="15896" max="16134" width="9.140625" style="29"/>
    <col min="16135" max="16135" width="2.5703125" style="29" customWidth="1"/>
    <col min="16136" max="16136" width="60.7109375" style="29" customWidth="1"/>
    <col min="16137" max="16137" width="10.7109375" style="29" customWidth="1"/>
    <col min="16138" max="16139" width="15.7109375" style="29" customWidth="1"/>
    <col min="16140" max="16140" width="9.28515625" style="29" bestFit="1" customWidth="1"/>
    <col min="16141" max="16151" width="14.7109375" style="29" customWidth="1"/>
    <col min="16152" max="16384" width="9.140625" style="29"/>
  </cols>
  <sheetData>
    <row r="1" spans="2:39" s="1" customFormat="1" ht="12" hidden="1" customHeight="1" x14ac:dyDescent="0.2">
      <c r="C1" s="2"/>
      <c r="Y1" s="156"/>
      <c r="Z1" s="156"/>
      <c r="AB1" s="156"/>
      <c r="AC1" s="156"/>
      <c r="AD1" s="156"/>
    </row>
    <row r="2" spans="2:39" s="1" customFormat="1" ht="12" hidden="1" customHeight="1" x14ac:dyDescent="0.2">
      <c r="C2" s="2"/>
      <c r="Y2" s="156"/>
      <c r="Z2" s="156"/>
      <c r="AB2" s="156"/>
      <c r="AC2" s="156"/>
      <c r="AD2" s="156"/>
    </row>
    <row r="3" spans="2:39" s="1" customFormat="1" ht="12" hidden="1" customHeight="1" x14ac:dyDescent="0.2">
      <c r="C3" s="2"/>
      <c r="Y3" s="156"/>
      <c r="Z3" s="156"/>
      <c r="AB3" s="156"/>
      <c r="AC3" s="156"/>
      <c r="AD3" s="156"/>
    </row>
    <row r="4" spans="2:39" s="1" customFormat="1" ht="12" hidden="1" customHeight="1" x14ac:dyDescent="0.2">
      <c r="C4" s="2"/>
      <c r="Y4" s="156"/>
      <c r="Z4" s="156"/>
      <c r="AB4" s="156"/>
      <c r="AC4" s="156"/>
      <c r="AD4" s="156"/>
    </row>
    <row r="5" spans="2:39" s="1" customFormat="1" ht="12" customHeight="1" x14ac:dyDescent="0.2">
      <c r="C5" s="2"/>
      <c r="Y5" s="156"/>
      <c r="Z5" s="156"/>
      <c r="AB5" s="156"/>
      <c r="AC5" s="156"/>
      <c r="AD5" s="156"/>
    </row>
    <row r="6" spans="2:39" s="100" customFormat="1" ht="12" customHeight="1" x14ac:dyDescent="0.2">
      <c r="B6" s="100" t="s">
        <v>58</v>
      </c>
      <c r="C6" s="101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Q6" s="102"/>
      <c r="R6" s="102"/>
      <c r="S6" s="102"/>
      <c r="T6" s="101"/>
      <c r="U6" s="102"/>
      <c r="V6" s="102"/>
      <c r="W6" s="102"/>
      <c r="X6" s="102"/>
      <c r="Y6" s="157"/>
      <c r="Z6" s="157"/>
      <c r="AA6" s="101"/>
      <c r="AB6" s="157"/>
      <c r="AC6" s="157"/>
      <c r="AD6" s="157"/>
      <c r="AE6" s="101"/>
      <c r="AF6" s="101"/>
      <c r="AG6" s="101"/>
      <c r="AH6" s="101"/>
      <c r="AI6" s="101"/>
      <c r="AK6" s="101"/>
      <c r="AL6" s="101"/>
      <c r="AM6" s="101"/>
    </row>
    <row r="7" spans="2:39" s="160" customFormat="1" ht="12" customHeight="1" x14ac:dyDescent="0.2">
      <c r="B7" s="209" t="s">
        <v>59</v>
      </c>
      <c r="C7" s="210"/>
      <c r="D7" s="213" t="s">
        <v>271</v>
      </c>
      <c r="E7" s="219"/>
      <c r="F7" s="219"/>
      <c r="G7" s="219"/>
      <c r="H7" s="219"/>
      <c r="I7" s="219"/>
      <c r="J7" s="219"/>
      <c r="K7" s="219"/>
      <c r="L7" s="219"/>
      <c r="M7" s="219"/>
      <c r="N7" s="219"/>
      <c r="O7" s="219"/>
      <c r="P7" s="219"/>
      <c r="Q7" s="219"/>
      <c r="R7" s="219"/>
      <c r="S7" s="219"/>
      <c r="U7" s="215" t="s">
        <v>271</v>
      </c>
      <c r="V7" s="216"/>
      <c r="W7" s="216"/>
      <c r="X7" s="217"/>
      <c r="Y7" s="161"/>
      <c r="Z7" s="161"/>
      <c r="AB7" s="161"/>
      <c r="AC7" s="161"/>
      <c r="AD7" s="161"/>
    </row>
    <row r="8" spans="2:39" s="160" customFormat="1" ht="12" customHeight="1" x14ac:dyDescent="0.2">
      <c r="B8" s="211"/>
      <c r="C8" s="212"/>
      <c r="D8" s="203" t="s">
        <v>48</v>
      </c>
      <c r="E8" s="203" t="s">
        <v>123</v>
      </c>
      <c r="F8" s="203" t="s">
        <v>49</v>
      </c>
      <c r="G8" s="203" t="s">
        <v>50</v>
      </c>
      <c r="H8" s="203" t="s">
        <v>46</v>
      </c>
      <c r="I8" s="203" t="s">
        <v>124</v>
      </c>
      <c r="J8" s="203" t="s">
        <v>25</v>
      </c>
      <c r="K8" s="203" t="s">
        <v>47</v>
      </c>
      <c r="L8" s="203" t="s">
        <v>45</v>
      </c>
      <c r="M8" s="203" t="s">
        <v>125</v>
      </c>
      <c r="N8" s="203" t="s">
        <v>24</v>
      </c>
      <c r="O8" s="203" t="s">
        <v>57</v>
      </c>
      <c r="P8" s="203" t="s">
        <v>300</v>
      </c>
      <c r="Q8" s="203" t="s">
        <v>302</v>
      </c>
      <c r="R8" s="203" t="s">
        <v>306</v>
      </c>
      <c r="S8" s="218" t="s">
        <v>311</v>
      </c>
      <c r="U8" s="203" t="s">
        <v>50</v>
      </c>
      <c r="V8" s="203" t="s">
        <v>47</v>
      </c>
      <c r="W8" s="203" t="s">
        <v>57</v>
      </c>
      <c r="X8" s="218" t="str">
        <f>S8</f>
        <v>31.12.2021</v>
      </c>
      <c r="Y8" s="161"/>
      <c r="Z8" s="161"/>
      <c r="AB8" s="161"/>
      <c r="AC8" s="161"/>
      <c r="AD8" s="161"/>
    </row>
    <row r="9" spans="2:39" s="160" customFormat="1" ht="12" customHeight="1" x14ac:dyDescent="0.2">
      <c r="B9" s="213"/>
      <c r="C9" s="21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U9" s="204"/>
      <c r="V9" s="204"/>
      <c r="W9" s="204"/>
      <c r="X9" s="204"/>
      <c r="Y9" s="161"/>
      <c r="Z9" s="161"/>
      <c r="AB9" s="161"/>
      <c r="AC9" s="161"/>
      <c r="AD9" s="161"/>
    </row>
    <row r="10" spans="2:39" ht="12" customHeight="1" x14ac:dyDescent="0.2">
      <c r="B10" s="202" t="s">
        <v>60</v>
      </c>
      <c r="C10" s="202"/>
      <c r="D10" s="39">
        <f t="shared" ref="D10:F10" si="0">SUM(D11:D18,D21,D24,D27:D28)</f>
        <v>460348</v>
      </c>
      <c r="E10" s="39">
        <f t="shared" si="0"/>
        <v>463608</v>
      </c>
      <c r="F10" s="39">
        <f t="shared" si="0"/>
        <v>456055</v>
      </c>
      <c r="G10" s="39">
        <f>SUM(G11:G18,G21,G24,G27:G28)</f>
        <v>459944</v>
      </c>
      <c r="H10" s="39">
        <f t="shared" ref="H10:R10" si="1">SUM(H11:H18,H21,H24,H27:H28)</f>
        <v>467958</v>
      </c>
      <c r="I10" s="39">
        <f t="shared" si="1"/>
        <v>478130</v>
      </c>
      <c r="J10" s="39">
        <f t="shared" si="1"/>
        <v>487324</v>
      </c>
      <c r="K10" s="39">
        <f t="shared" si="1"/>
        <v>472363</v>
      </c>
      <c r="L10" s="39">
        <f>SUM(L11:L18,L21,L24,L27:L28)</f>
        <v>472456</v>
      </c>
      <c r="M10" s="39">
        <f>SUM(M11:M18,M21,M24,M27:M28)</f>
        <v>473607</v>
      </c>
      <c r="N10" s="39">
        <f t="shared" si="1"/>
        <v>478522</v>
      </c>
      <c r="O10" s="39">
        <f t="shared" si="1"/>
        <v>496611</v>
      </c>
      <c r="P10" s="39">
        <f t="shared" si="1"/>
        <v>503177</v>
      </c>
      <c r="Q10" s="39">
        <f t="shared" si="1"/>
        <v>504349</v>
      </c>
      <c r="R10" s="39">
        <f t="shared" si="1"/>
        <v>513795</v>
      </c>
      <c r="S10" s="39">
        <f t="shared" ref="S10" si="2">SUM(S11:S18,S21,S24,S27:S28)</f>
        <v>533186</v>
      </c>
      <c r="U10" s="39">
        <f>G10</f>
        <v>459944</v>
      </c>
      <c r="V10" s="39">
        <f>K10</f>
        <v>472363</v>
      </c>
      <c r="W10" s="39">
        <f>O10</f>
        <v>496611</v>
      </c>
      <c r="X10" s="39">
        <f t="shared" ref="X10:X53" si="3">S10</f>
        <v>533186</v>
      </c>
      <c r="AE10" s="158"/>
    </row>
    <row r="11" spans="2:39" ht="12" customHeight="1" x14ac:dyDescent="0.2">
      <c r="B11" s="31"/>
      <c r="C11" s="32" t="s">
        <v>61</v>
      </c>
      <c r="D11" s="33">
        <v>94507</v>
      </c>
      <c r="E11" s="33">
        <v>97205</v>
      </c>
      <c r="F11" s="33">
        <v>96250</v>
      </c>
      <c r="G11" s="33">
        <v>91575</v>
      </c>
      <c r="H11" s="33">
        <v>95920</v>
      </c>
      <c r="I11" s="33">
        <v>95748</v>
      </c>
      <c r="J11" s="33">
        <v>97380</v>
      </c>
      <c r="K11" s="33">
        <v>95406</v>
      </c>
      <c r="L11" s="33">
        <v>100634</v>
      </c>
      <c r="M11" s="33">
        <v>95015</v>
      </c>
      <c r="N11" s="33">
        <v>95688</v>
      </c>
      <c r="O11" s="33">
        <v>103038</v>
      </c>
      <c r="P11" s="33">
        <v>106403</v>
      </c>
      <c r="Q11" s="33">
        <v>106628</v>
      </c>
      <c r="R11" s="33">
        <v>108662</v>
      </c>
      <c r="S11" s="33">
        <v>111294</v>
      </c>
      <c r="U11" s="33">
        <f t="shared" ref="U11:U76" si="4">G11</f>
        <v>91575</v>
      </c>
      <c r="V11" s="33">
        <f t="shared" ref="V11:V76" si="5">K11</f>
        <v>95406</v>
      </c>
      <c r="W11" s="33">
        <f t="shared" ref="W11:W76" si="6">O11</f>
        <v>103038</v>
      </c>
      <c r="X11" s="33">
        <f t="shared" si="3"/>
        <v>111294</v>
      </c>
      <c r="Y11" s="29"/>
      <c r="Z11" s="29"/>
      <c r="AE11" s="158"/>
    </row>
    <row r="12" spans="2:39" ht="12" customHeight="1" x14ac:dyDescent="0.2">
      <c r="B12" s="31"/>
      <c r="C12" s="32" t="s">
        <v>62</v>
      </c>
      <c r="D12" s="33">
        <v>119872</v>
      </c>
      <c r="E12" s="33">
        <v>120655</v>
      </c>
      <c r="F12" s="33">
        <v>120146</v>
      </c>
      <c r="G12" s="33">
        <v>123959</v>
      </c>
      <c r="H12" s="33">
        <v>120400</v>
      </c>
      <c r="I12" s="33">
        <v>120009</v>
      </c>
      <c r="J12" s="33">
        <v>120704</v>
      </c>
      <c r="K12" s="33">
        <v>123785</v>
      </c>
      <c r="L12" s="33">
        <v>121431</v>
      </c>
      <c r="M12" s="33">
        <v>124651</v>
      </c>
      <c r="N12" s="33">
        <v>124984</v>
      </c>
      <c r="O12" s="33">
        <v>125546</v>
      </c>
      <c r="P12" s="33">
        <v>126008</v>
      </c>
      <c r="Q12" s="33">
        <v>125249</v>
      </c>
      <c r="R12" s="33">
        <v>125828</v>
      </c>
      <c r="S12" s="33">
        <v>125777</v>
      </c>
      <c r="U12" s="33">
        <f t="shared" si="4"/>
        <v>123959</v>
      </c>
      <c r="V12" s="33">
        <f t="shared" si="5"/>
        <v>123785</v>
      </c>
      <c r="W12" s="33">
        <f t="shared" si="6"/>
        <v>125546</v>
      </c>
      <c r="X12" s="33">
        <f t="shared" si="3"/>
        <v>125777</v>
      </c>
      <c r="Y12" s="29"/>
      <c r="Z12" s="29"/>
      <c r="AE12" s="158"/>
    </row>
    <row r="13" spans="2:39" ht="12" customHeight="1" x14ac:dyDescent="0.2">
      <c r="B13" s="31"/>
      <c r="C13" s="32" t="s">
        <v>63</v>
      </c>
      <c r="D13" s="33">
        <v>193046</v>
      </c>
      <c r="E13" s="33">
        <v>192355</v>
      </c>
      <c r="F13" s="33">
        <v>190227</v>
      </c>
      <c r="G13" s="33">
        <v>182955</v>
      </c>
      <c r="H13" s="33">
        <v>182308</v>
      </c>
      <c r="I13" s="33">
        <v>182089</v>
      </c>
      <c r="J13" s="33">
        <v>183873</v>
      </c>
      <c r="K13" s="33">
        <v>170914</v>
      </c>
      <c r="L13" s="33">
        <v>169468</v>
      </c>
      <c r="M13" s="33">
        <v>173218</v>
      </c>
      <c r="N13" s="33">
        <v>179438</v>
      </c>
      <c r="O13" s="33">
        <v>187895</v>
      </c>
      <c r="P13" s="33">
        <v>192293</v>
      </c>
      <c r="Q13" s="33">
        <v>197999</v>
      </c>
      <c r="R13" s="33">
        <v>204474</v>
      </c>
      <c r="S13" s="33">
        <v>222014</v>
      </c>
      <c r="U13" s="33">
        <f t="shared" si="4"/>
        <v>182955</v>
      </c>
      <c r="V13" s="33">
        <f t="shared" si="5"/>
        <v>170914</v>
      </c>
      <c r="W13" s="33">
        <f t="shared" si="6"/>
        <v>187895</v>
      </c>
      <c r="X13" s="33">
        <f t="shared" si="3"/>
        <v>222014</v>
      </c>
      <c r="Y13" s="29"/>
      <c r="Z13" s="29"/>
      <c r="AE13" s="158"/>
    </row>
    <row r="14" spans="2:39" ht="12" customHeight="1" x14ac:dyDescent="0.2">
      <c r="B14" s="31"/>
      <c r="C14" s="32" t="s">
        <v>64</v>
      </c>
      <c r="D14" s="33"/>
      <c r="E14" s="33"/>
      <c r="F14" s="33"/>
      <c r="G14" s="33">
        <v>12385</v>
      </c>
      <c r="H14" s="33">
        <v>27180</v>
      </c>
      <c r="I14" s="33">
        <v>35851</v>
      </c>
      <c r="J14" s="33">
        <v>37259</v>
      </c>
      <c r="K14" s="33">
        <v>34220</v>
      </c>
      <c r="L14" s="33">
        <v>33802</v>
      </c>
      <c r="M14" s="33">
        <v>36881</v>
      </c>
      <c r="N14" s="33">
        <v>35522</v>
      </c>
      <c r="O14" s="33">
        <v>38587</v>
      </c>
      <c r="P14" s="33">
        <v>36283</v>
      </c>
      <c r="Q14" s="33">
        <v>33939</v>
      </c>
      <c r="R14" s="33">
        <v>34299</v>
      </c>
      <c r="S14" s="33">
        <v>34099</v>
      </c>
      <c r="U14" s="33">
        <f t="shared" si="4"/>
        <v>12385</v>
      </c>
      <c r="V14" s="33">
        <f t="shared" si="5"/>
        <v>34220</v>
      </c>
      <c r="W14" s="33">
        <f t="shared" si="6"/>
        <v>38587</v>
      </c>
      <c r="X14" s="33">
        <f t="shared" si="3"/>
        <v>34099</v>
      </c>
      <c r="Y14" s="29"/>
      <c r="Z14" s="29"/>
      <c r="AE14" s="158"/>
    </row>
    <row r="15" spans="2:39" ht="12" customHeight="1" x14ac:dyDescent="0.2">
      <c r="B15" s="31"/>
      <c r="C15" s="32" t="s">
        <v>65</v>
      </c>
      <c r="D15" s="33"/>
      <c r="E15" s="33"/>
      <c r="F15" s="33"/>
      <c r="G15" s="33">
        <v>4876</v>
      </c>
      <c r="H15" s="33"/>
      <c r="I15" s="33"/>
      <c r="K15" s="33">
        <v>3250</v>
      </c>
      <c r="L15" s="33">
        <v>2845</v>
      </c>
      <c r="M15" s="33">
        <v>2438</v>
      </c>
      <c r="N15" s="33">
        <v>2032</v>
      </c>
      <c r="O15" s="33">
        <v>1625</v>
      </c>
      <c r="P15" s="33">
        <v>1219</v>
      </c>
      <c r="Q15" s="33">
        <v>813</v>
      </c>
      <c r="R15" s="33">
        <v>406</v>
      </c>
      <c r="S15" s="33">
        <v>0</v>
      </c>
      <c r="U15" s="33">
        <f t="shared" si="4"/>
        <v>4876</v>
      </c>
      <c r="V15" s="33">
        <f t="shared" si="5"/>
        <v>3250</v>
      </c>
      <c r="W15" s="33">
        <f t="shared" si="6"/>
        <v>1625</v>
      </c>
      <c r="X15" s="33">
        <f t="shared" si="3"/>
        <v>0</v>
      </c>
      <c r="Y15" s="29"/>
      <c r="Z15" s="29"/>
      <c r="AE15" s="158"/>
    </row>
    <row r="16" spans="2:39" ht="12" customHeight="1" x14ac:dyDescent="0.2">
      <c r="B16" s="31"/>
      <c r="C16" s="32" t="s">
        <v>66</v>
      </c>
      <c r="D16" s="33">
        <v>1361</v>
      </c>
      <c r="E16" s="33">
        <v>1367</v>
      </c>
      <c r="F16" s="33">
        <v>1362</v>
      </c>
      <c r="G16" s="33">
        <v>1405</v>
      </c>
      <c r="H16" s="33">
        <v>1403</v>
      </c>
      <c r="I16" s="33">
        <v>1404</v>
      </c>
      <c r="J16" s="33">
        <v>1410</v>
      </c>
      <c r="K16" s="33">
        <v>1502</v>
      </c>
      <c r="L16" s="33">
        <v>1499</v>
      </c>
      <c r="M16" s="33">
        <v>1499</v>
      </c>
      <c r="N16" s="33">
        <v>1499</v>
      </c>
      <c r="O16" s="33">
        <v>1441</v>
      </c>
      <c r="P16" s="33">
        <v>1449</v>
      </c>
      <c r="Q16" s="33">
        <v>1446</v>
      </c>
      <c r="R16" s="33">
        <v>1458</v>
      </c>
      <c r="S16" s="33">
        <v>1733</v>
      </c>
      <c r="U16" s="33">
        <f t="shared" si="4"/>
        <v>1405</v>
      </c>
      <c r="V16" s="33">
        <f t="shared" si="5"/>
        <v>1502</v>
      </c>
      <c r="W16" s="33">
        <f t="shared" si="6"/>
        <v>1441</v>
      </c>
      <c r="X16" s="33">
        <f t="shared" si="3"/>
        <v>1733</v>
      </c>
      <c r="Y16" s="29"/>
      <c r="Z16" s="29"/>
      <c r="AE16" s="158"/>
    </row>
    <row r="17" spans="2:31" ht="12" customHeight="1" x14ac:dyDescent="0.2">
      <c r="B17" s="31"/>
      <c r="C17" s="32" t="s">
        <v>67</v>
      </c>
      <c r="D17" s="33">
        <v>1717</v>
      </c>
      <c r="E17" s="33">
        <v>1910</v>
      </c>
      <c r="F17" s="33">
        <v>2249</v>
      </c>
      <c r="G17" s="33">
        <v>2782</v>
      </c>
      <c r="H17" s="33">
        <v>1800</v>
      </c>
      <c r="I17" s="33">
        <v>2219</v>
      </c>
      <c r="J17" s="33">
        <v>2947</v>
      </c>
      <c r="K17" s="33">
        <v>2540</v>
      </c>
      <c r="L17" s="33">
        <v>2522</v>
      </c>
      <c r="M17" s="33">
        <v>1487</v>
      </c>
      <c r="N17" s="33">
        <v>1755</v>
      </c>
      <c r="O17" s="33">
        <v>2048</v>
      </c>
      <c r="P17" s="33">
        <v>1026</v>
      </c>
      <c r="Q17" s="33">
        <v>1450</v>
      </c>
      <c r="R17" s="33">
        <v>2094</v>
      </c>
      <c r="S17" s="33">
        <v>2242</v>
      </c>
      <c r="U17" s="33">
        <f t="shared" si="4"/>
        <v>2782</v>
      </c>
      <c r="V17" s="33">
        <f t="shared" si="5"/>
        <v>2540</v>
      </c>
      <c r="W17" s="33">
        <f t="shared" si="6"/>
        <v>2048</v>
      </c>
      <c r="X17" s="33">
        <f t="shared" si="3"/>
        <v>2242</v>
      </c>
      <c r="Y17" s="29"/>
      <c r="Z17" s="29"/>
      <c r="AE17" s="158"/>
    </row>
    <row r="18" spans="2:31" s="38" customFormat="1" ht="12" customHeight="1" x14ac:dyDescent="0.2">
      <c r="B18" s="40"/>
      <c r="C18" s="41" t="s">
        <v>68</v>
      </c>
      <c r="D18" s="42">
        <f t="shared" ref="D18:F18" si="7">D19+D20</f>
        <v>142</v>
      </c>
      <c r="E18" s="42">
        <f t="shared" si="7"/>
        <v>16</v>
      </c>
      <c r="F18" s="42">
        <f t="shared" si="7"/>
        <v>36</v>
      </c>
      <c r="G18" s="42">
        <f>G19+G20</f>
        <v>82</v>
      </c>
      <c r="H18" s="42">
        <f t="shared" ref="H18:R18" si="8">H19+H20</f>
        <v>179</v>
      </c>
      <c r="I18" s="42">
        <f t="shared" si="8"/>
        <v>272</v>
      </c>
      <c r="J18" s="42">
        <f t="shared" si="8"/>
        <v>9</v>
      </c>
      <c r="K18" s="42">
        <f t="shared" si="8"/>
        <v>64</v>
      </c>
      <c r="L18" s="42">
        <f t="shared" si="8"/>
        <v>0</v>
      </c>
      <c r="M18" s="42">
        <f t="shared" si="8"/>
        <v>0</v>
      </c>
      <c r="N18" s="42">
        <f t="shared" si="8"/>
        <v>0</v>
      </c>
      <c r="O18" s="42">
        <f t="shared" si="8"/>
        <v>0</v>
      </c>
      <c r="P18" s="42">
        <f t="shared" si="8"/>
        <v>0</v>
      </c>
      <c r="Q18" s="42">
        <f t="shared" si="8"/>
        <v>119</v>
      </c>
      <c r="R18" s="42">
        <f t="shared" si="8"/>
        <v>0</v>
      </c>
      <c r="S18" s="42">
        <f t="shared" ref="S18" si="9">S19+S20</f>
        <v>247</v>
      </c>
      <c r="U18" s="42">
        <f t="shared" si="4"/>
        <v>82</v>
      </c>
      <c r="V18" s="42">
        <f t="shared" si="5"/>
        <v>64</v>
      </c>
      <c r="W18" s="42">
        <f t="shared" si="6"/>
        <v>0</v>
      </c>
      <c r="X18" s="42">
        <f t="shared" si="3"/>
        <v>247</v>
      </c>
      <c r="Y18" s="29"/>
      <c r="Z18" s="29"/>
      <c r="AA18" s="29"/>
      <c r="AB18" s="158"/>
      <c r="AC18" s="173"/>
      <c r="AD18" s="158"/>
      <c r="AE18" s="158"/>
    </row>
    <row r="19" spans="2:31" ht="12" customHeight="1" x14ac:dyDescent="0.2">
      <c r="B19" s="34"/>
      <c r="C19" s="35" t="s">
        <v>69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U19" s="36">
        <f t="shared" si="4"/>
        <v>0</v>
      </c>
      <c r="V19" s="36">
        <f t="shared" si="5"/>
        <v>0</v>
      </c>
      <c r="W19" s="36">
        <f t="shared" si="6"/>
        <v>0</v>
      </c>
      <c r="X19" s="36">
        <f t="shared" si="3"/>
        <v>0</v>
      </c>
      <c r="Y19" s="29"/>
      <c r="Z19" s="29"/>
      <c r="AE19" s="158"/>
    </row>
    <row r="20" spans="2:31" ht="12" customHeight="1" x14ac:dyDescent="0.2">
      <c r="B20" s="34"/>
      <c r="C20" s="35" t="s">
        <v>70</v>
      </c>
      <c r="D20" s="36">
        <v>142</v>
      </c>
      <c r="E20" s="36">
        <v>16</v>
      </c>
      <c r="F20" s="36">
        <v>36</v>
      </c>
      <c r="G20" s="36">
        <v>82</v>
      </c>
      <c r="H20" s="36">
        <v>179</v>
      </c>
      <c r="I20" s="36">
        <v>272</v>
      </c>
      <c r="J20" s="36">
        <v>9</v>
      </c>
      <c r="K20" s="36">
        <v>64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119</v>
      </c>
      <c r="R20" s="36">
        <v>0</v>
      </c>
      <c r="S20" s="36">
        <v>247</v>
      </c>
      <c r="U20" s="36">
        <f t="shared" si="4"/>
        <v>82</v>
      </c>
      <c r="V20" s="36">
        <f t="shared" si="5"/>
        <v>64</v>
      </c>
      <c r="W20" s="36">
        <f t="shared" si="6"/>
        <v>0</v>
      </c>
      <c r="X20" s="36">
        <f t="shared" si="3"/>
        <v>247</v>
      </c>
      <c r="Y20" s="29"/>
      <c r="Z20" s="29"/>
      <c r="AB20" s="173"/>
      <c r="AE20" s="158"/>
    </row>
    <row r="21" spans="2:31" s="38" customFormat="1" ht="12" customHeight="1" x14ac:dyDescent="0.2">
      <c r="B21" s="40"/>
      <c r="C21" s="41" t="s">
        <v>71</v>
      </c>
      <c r="D21" s="42">
        <f t="shared" ref="D21:F21" si="10">SUM(D22:D23)</f>
        <v>0</v>
      </c>
      <c r="E21" s="42">
        <f t="shared" si="10"/>
        <v>0</v>
      </c>
      <c r="F21" s="42">
        <f t="shared" si="10"/>
        <v>0</v>
      </c>
      <c r="G21" s="42">
        <f>SUM(G22:G23)</f>
        <v>0</v>
      </c>
      <c r="H21" s="42">
        <f t="shared" ref="H21:R21" si="11">SUM(H22:H23)</f>
        <v>0</v>
      </c>
      <c r="I21" s="42">
        <f t="shared" si="11"/>
        <v>0</v>
      </c>
      <c r="J21" s="42">
        <f t="shared" si="11"/>
        <v>0</v>
      </c>
      <c r="K21" s="42">
        <f t="shared" si="11"/>
        <v>0</v>
      </c>
      <c r="L21" s="42">
        <f t="shared" si="11"/>
        <v>0</v>
      </c>
      <c r="M21" s="42">
        <f t="shared" si="11"/>
        <v>0</v>
      </c>
      <c r="N21" s="42">
        <f t="shared" si="11"/>
        <v>0</v>
      </c>
      <c r="O21" s="42">
        <f t="shared" si="11"/>
        <v>0</v>
      </c>
      <c r="P21" s="42">
        <f t="shared" si="11"/>
        <v>0</v>
      </c>
      <c r="Q21" s="42">
        <f t="shared" si="11"/>
        <v>0</v>
      </c>
      <c r="R21" s="42">
        <f t="shared" si="11"/>
        <v>0</v>
      </c>
      <c r="S21" s="42">
        <f t="shared" ref="S21" si="12">SUM(S22:S23)</f>
        <v>0</v>
      </c>
      <c r="U21" s="42">
        <f t="shared" si="4"/>
        <v>0</v>
      </c>
      <c r="V21" s="42">
        <f t="shared" si="5"/>
        <v>0</v>
      </c>
      <c r="W21" s="42">
        <f t="shared" si="6"/>
        <v>0</v>
      </c>
      <c r="X21" s="42">
        <f t="shared" si="3"/>
        <v>0</v>
      </c>
      <c r="Y21" s="29"/>
      <c r="Z21" s="29"/>
      <c r="AA21" s="29"/>
      <c r="AB21" s="158"/>
      <c r="AC21" s="173"/>
      <c r="AD21" s="158"/>
      <c r="AE21" s="158"/>
    </row>
    <row r="22" spans="2:31" ht="12" customHeight="1" x14ac:dyDescent="0.2">
      <c r="B22" s="34"/>
      <c r="C22" s="35" t="s">
        <v>1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U22" s="36">
        <f t="shared" si="4"/>
        <v>0</v>
      </c>
      <c r="V22" s="36">
        <f t="shared" si="5"/>
        <v>0</v>
      </c>
      <c r="W22" s="36">
        <f t="shared" si="6"/>
        <v>0</v>
      </c>
      <c r="X22" s="36">
        <f t="shared" si="3"/>
        <v>0</v>
      </c>
      <c r="Y22" s="29"/>
      <c r="Z22" s="29"/>
      <c r="AE22" s="158"/>
    </row>
    <row r="23" spans="2:31" ht="12" customHeight="1" x14ac:dyDescent="0.2">
      <c r="B23" s="34"/>
      <c r="C23" s="35" t="s">
        <v>2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U23" s="36">
        <f t="shared" si="4"/>
        <v>0</v>
      </c>
      <c r="V23" s="36">
        <f t="shared" si="5"/>
        <v>0</v>
      </c>
      <c r="W23" s="36">
        <f t="shared" si="6"/>
        <v>0</v>
      </c>
      <c r="X23" s="36">
        <f t="shared" si="3"/>
        <v>0</v>
      </c>
      <c r="Y23" s="29"/>
      <c r="Z23" s="29"/>
      <c r="AB23" s="173"/>
      <c r="AE23" s="158"/>
    </row>
    <row r="24" spans="2:31" s="38" customFormat="1" ht="12" customHeight="1" x14ac:dyDescent="0.2">
      <c r="B24" s="40"/>
      <c r="C24" s="41" t="s">
        <v>72</v>
      </c>
      <c r="D24" s="42">
        <f t="shared" ref="D24:F24" si="13">SUM(D25:D26)</f>
        <v>7763</v>
      </c>
      <c r="E24" s="42">
        <f t="shared" si="13"/>
        <v>7975</v>
      </c>
      <c r="F24" s="42">
        <f t="shared" si="13"/>
        <v>8601</v>
      </c>
      <c r="G24" s="42">
        <f>SUM(G25:G26)</f>
        <v>6433</v>
      </c>
      <c r="H24" s="42">
        <f t="shared" ref="H24:R24" si="14">SUM(H25:H26)</f>
        <v>6257</v>
      </c>
      <c r="I24" s="42">
        <f t="shared" si="14"/>
        <v>6259</v>
      </c>
      <c r="J24" s="42">
        <f t="shared" si="14"/>
        <v>8816</v>
      </c>
      <c r="K24" s="42">
        <f t="shared" si="14"/>
        <v>7327</v>
      </c>
      <c r="L24" s="42">
        <f t="shared" si="14"/>
        <v>6617</v>
      </c>
      <c r="M24" s="42">
        <f t="shared" si="14"/>
        <v>6511</v>
      </c>
      <c r="N24" s="42">
        <f t="shared" si="14"/>
        <v>6408</v>
      </c>
      <c r="O24" s="42">
        <f t="shared" si="14"/>
        <v>5777</v>
      </c>
      <c r="P24" s="42">
        <f t="shared" si="14"/>
        <v>5127</v>
      </c>
      <c r="Q24" s="42">
        <f t="shared" si="14"/>
        <v>5107</v>
      </c>
      <c r="R24" s="42">
        <f t="shared" si="14"/>
        <v>4792</v>
      </c>
      <c r="S24" s="42">
        <f t="shared" ref="S24" si="15">SUM(S25:S26)</f>
        <v>4429</v>
      </c>
      <c r="U24" s="42">
        <f t="shared" si="4"/>
        <v>6433</v>
      </c>
      <c r="V24" s="42">
        <f t="shared" si="5"/>
        <v>7327</v>
      </c>
      <c r="W24" s="42">
        <f t="shared" si="6"/>
        <v>5777</v>
      </c>
      <c r="X24" s="42">
        <f t="shared" si="3"/>
        <v>4429</v>
      </c>
      <c r="Y24" s="29"/>
      <c r="Z24" s="29"/>
      <c r="AA24" s="29"/>
      <c r="AB24" s="158"/>
      <c r="AC24" s="173"/>
      <c r="AD24" s="158"/>
      <c r="AE24" s="158"/>
    </row>
    <row r="25" spans="2:31" ht="12" customHeight="1" x14ac:dyDescent="0.2">
      <c r="B25" s="34"/>
      <c r="C25" s="35" t="s">
        <v>55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U25" s="36">
        <f t="shared" si="4"/>
        <v>0</v>
      </c>
      <c r="V25" s="36">
        <f t="shared" si="5"/>
        <v>0</v>
      </c>
      <c r="W25" s="36">
        <f t="shared" si="6"/>
        <v>0</v>
      </c>
      <c r="X25" s="36">
        <f t="shared" si="3"/>
        <v>0</v>
      </c>
      <c r="Y25" s="29"/>
      <c r="Z25" s="29"/>
      <c r="AE25" s="158"/>
    </row>
    <row r="26" spans="2:31" ht="12" customHeight="1" x14ac:dyDescent="0.2">
      <c r="B26" s="34"/>
      <c r="C26" s="35" t="s">
        <v>56</v>
      </c>
      <c r="D26" s="36">
        <v>7763</v>
      </c>
      <c r="E26" s="36">
        <v>7975</v>
      </c>
      <c r="F26" s="36">
        <v>8601</v>
      </c>
      <c r="G26" s="36">
        <v>6433</v>
      </c>
      <c r="H26" s="36">
        <v>6257</v>
      </c>
      <c r="I26" s="36">
        <v>6259</v>
      </c>
      <c r="J26" s="36">
        <v>8816</v>
      </c>
      <c r="K26" s="36">
        <v>7327</v>
      </c>
      <c r="L26" s="36">
        <v>6617</v>
      </c>
      <c r="M26" s="36">
        <v>6511</v>
      </c>
      <c r="N26" s="36">
        <v>6408</v>
      </c>
      <c r="O26" s="36">
        <v>5777</v>
      </c>
      <c r="P26" s="36">
        <v>5127</v>
      </c>
      <c r="Q26" s="36">
        <v>5107</v>
      </c>
      <c r="R26" s="36">
        <v>4792</v>
      </c>
      <c r="S26" s="36">
        <v>4429</v>
      </c>
      <c r="U26" s="36">
        <f t="shared" si="4"/>
        <v>6433</v>
      </c>
      <c r="V26" s="36">
        <f t="shared" si="5"/>
        <v>7327</v>
      </c>
      <c r="W26" s="36">
        <f t="shared" si="6"/>
        <v>5777</v>
      </c>
      <c r="X26" s="36">
        <f t="shared" si="3"/>
        <v>4429</v>
      </c>
      <c r="Y26" s="29"/>
      <c r="Z26" s="29"/>
      <c r="AB26" s="173"/>
      <c r="AE26" s="158"/>
    </row>
    <row r="27" spans="2:31" ht="12" customHeight="1" x14ac:dyDescent="0.2">
      <c r="B27" s="31"/>
      <c r="C27" s="32" t="s">
        <v>73</v>
      </c>
      <c r="D27" s="33">
        <v>50</v>
      </c>
      <c r="E27" s="33">
        <v>38</v>
      </c>
      <c r="F27" s="33">
        <v>45</v>
      </c>
      <c r="G27" s="33">
        <v>49</v>
      </c>
      <c r="H27" s="33">
        <v>43</v>
      </c>
      <c r="I27" s="33">
        <v>40</v>
      </c>
      <c r="J27" s="33">
        <v>41</v>
      </c>
      <c r="K27" s="33">
        <v>28</v>
      </c>
      <c r="L27" s="33">
        <v>34</v>
      </c>
      <c r="M27" s="33">
        <v>32</v>
      </c>
      <c r="N27" s="33">
        <v>79</v>
      </c>
      <c r="O27" s="33">
        <v>78</v>
      </c>
      <c r="P27" s="33">
        <v>78</v>
      </c>
      <c r="Q27" s="33">
        <v>105</v>
      </c>
      <c r="R27" s="33">
        <v>120</v>
      </c>
      <c r="S27" s="33">
        <v>96</v>
      </c>
      <c r="U27" s="33">
        <f t="shared" si="4"/>
        <v>49</v>
      </c>
      <c r="V27" s="33">
        <f t="shared" si="5"/>
        <v>28</v>
      </c>
      <c r="W27" s="33">
        <f t="shared" si="6"/>
        <v>78</v>
      </c>
      <c r="X27" s="33">
        <f t="shared" si="3"/>
        <v>96</v>
      </c>
      <c r="Y27" s="29"/>
      <c r="Z27" s="29"/>
      <c r="AE27" s="158"/>
    </row>
    <row r="28" spans="2:31" ht="12" customHeight="1" x14ac:dyDescent="0.2">
      <c r="B28" s="31"/>
      <c r="C28" s="32" t="s">
        <v>74</v>
      </c>
      <c r="D28" s="33">
        <v>41890</v>
      </c>
      <c r="E28" s="33">
        <v>42087</v>
      </c>
      <c r="F28" s="33">
        <v>37139</v>
      </c>
      <c r="G28" s="33">
        <v>33443</v>
      </c>
      <c r="H28" s="33">
        <v>32468</v>
      </c>
      <c r="I28" s="33">
        <v>34239</v>
      </c>
      <c r="J28" s="33">
        <v>34885</v>
      </c>
      <c r="K28" s="33">
        <v>33327</v>
      </c>
      <c r="L28" s="33">
        <v>33604</v>
      </c>
      <c r="M28" s="33">
        <v>31875</v>
      </c>
      <c r="N28" s="33">
        <v>31117</v>
      </c>
      <c r="O28" s="33">
        <v>30576</v>
      </c>
      <c r="P28" s="33">
        <v>33291</v>
      </c>
      <c r="Q28" s="33">
        <v>31494</v>
      </c>
      <c r="R28" s="33">
        <v>31662</v>
      </c>
      <c r="S28" s="33">
        <v>31255</v>
      </c>
      <c r="U28" s="33">
        <f t="shared" si="4"/>
        <v>33443</v>
      </c>
      <c r="V28" s="33">
        <f t="shared" si="5"/>
        <v>33327</v>
      </c>
      <c r="W28" s="33">
        <f t="shared" si="6"/>
        <v>30576</v>
      </c>
      <c r="X28" s="33">
        <f t="shared" si="3"/>
        <v>31255</v>
      </c>
      <c r="Y28" s="29"/>
      <c r="Z28" s="29"/>
      <c r="AE28" s="158"/>
    </row>
    <row r="29" spans="2:31" ht="12" customHeight="1" x14ac:dyDescent="0.2">
      <c r="B29" s="202" t="s">
        <v>75</v>
      </c>
      <c r="C29" s="202"/>
      <c r="D29" s="39">
        <f t="shared" ref="D29:I29" si="16">SUM(D30:D32,D35:D37,D40,D43,D46:D49)</f>
        <v>368176</v>
      </c>
      <c r="E29" s="39">
        <f t="shared" si="16"/>
        <v>378676</v>
      </c>
      <c r="F29" s="39">
        <f t="shared" si="16"/>
        <v>381675</v>
      </c>
      <c r="G29" s="39">
        <f t="shared" si="16"/>
        <v>379246</v>
      </c>
      <c r="H29" s="39">
        <f t="shared" si="16"/>
        <v>404029</v>
      </c>
      <c r="I29" s="39">
        <f t="shared" si="16"/>
        <v>382078</v>
      </c>
      <c r="J29" s="39">
        <f>SUM(J30:J32,J35:J37,J40,J43,J46:J49)</f>
        <v>383404</v>
      </c>
      <c r="K29" s="39">
        <f>SUM(K30:K32,K35:K37,K40,K43,K46:K49)</f>
        <v>415473</v>
      </c>
      <c r="L29" s="39">
        <f t="shared" ref="L29:R29" si="17">SUM(L30:L32,L35:L37,L40,L43,L46:L49)</f>
        <v>431518</v>
      </c>
      <c r="M29" s="39">
        <f t="shared" si="17"/>
        <v>440259</v>
      </c>
      <c r="N29" s="39">
        <f t="shared" si="17"/>
        <v>438779</v>
      </c>
      <c r="O29" s="39">
        <f t="shared" si="17"/>
        <v>378338</v>
      </c>
      <c r="P29" s="39">
        <f t="shared" si="17"/>
        <v>448841</v>
      </c>
      <c r="Q29" s="39">
        <f t="shared" si="17"/>
        <v>460349</v>
      </c>
      <c r="R29" s="39">
        <f t="shared" si="17"/>
        <v>478308</v>
      </c>
      <c r="S29" s="39">
        <f t="shared" ref="S29" si="18">SUM(S30:S32,S35:S37,S40,S43,S46:S49)</f>
        <v>466074</v>
      </c>
      <c r="U29" s="39">
        <f t="shared" si="4"/>
        <v>379246</v>
      </c>
      <c r="V29" s="39">
        <f t="shared" si="5"/>
        <v>415473</v>
      </c>
      <c r="W29" s="39">
        <f t="shared" si="6"/>
        <v>378338</v>
      </c>
      <c r="X29" s="39">
        <f t="shared" si="3"/>
        <v>466074</v>
      </c>
      <c r="AE29" s="158"/>
    </row>
    <row r="30" spans="2:31" ht="12" customHeight="1" x14ac:dyDescent="0.2">
      <c r="B30" s="31"/>
      <c r="C30" s="32" t="s">
        <v>76</v>
      </c>
      <c r="D30" s="33">
        <v>150735</v>
      </c>
      <c r="E30" s="33">
        <v>169849</v>
      </c>
      <c r="F30" s="33">
        <v>184546</v>
      </c>
      <c r="G30" s="33">
        <v>165625</v>
      </c>
      <c r="H30" s="33">
        <v>174776</v>
      </c>
      <c r="I30" s="33">
        <v>176258</v>
      </c>
      <c r="J30" s="33">
        <v>173235</v>
      </c>
      <c r="K30" s="33">
        <v>151698</v>
      </c>
      <c r="L30" s="33">
        <v>158017</v>
      </c>
      <c r="M30" s="33">
        <v>169153</v>
      </c>
      <c r="N30" s="33">
        <v>173602</v>
      </c>
      <c r="O30" s="33">
        <v>155074</v>
      </c>
      <c r="P30" s="33">
        <v>184000</v>
      </c>
      <c r="Q30" s="33">
        <v>218966</v>
      </c>
      <c r="R30" s="33">
        <v>237523</v>
      </c>
      <c r="S30" s="33">
        <v>238934</v>
      </c>
      <c r="U30" s="33">
        <f t="shared" si="4"/>
        <v>165625</v>
      </c>
      <c r="V30" s="33">
        <f t="shared" si="5"/>
        <v>151698</v>
      </c>
      <c r="W30" s="33">
        <f t="shared" si="6"/>
        <v>155074</v>
      </c>
      <c r="X30" s="33">
        <f t="shared" si="3"/>
        <v>238934</v>
      </c>
      <c r="Y30" s="29"/>
      <c r="Z30" s="29"/>
      <c r="AE30" s="158"/>
    </row>
    <row r="31" spans="2:31" ht="12" customHeight="1" x14ac:dyDescent="0.2">
      <c r="B31" s="31"/>
      <c r="C31" s="32" t="s">
        <v>65</v>
      </c>
      <c r="D31" s="33"/>
      <c r="E31" s="33"/>
      <c r="F31" s="33"/>
      <c r="G31" s="33">
        <v>1626</v>
      </c>
      <c r="H31" s="33">
        <v>6096</v>
      </c>
      <c r="I31" s="33">
        <v>5689</v>
      </c>
      <c r="J31" s="33">
        <v>5283</v>
      </c>
      <c r="K31" s="33">
        <v>11946</v>
      </c>
      <c r="L31" s="33">
        <v>11945</v>
      </c>
      <c r="M31" s="33">
        <v>11945</v>
      </c>
      <c r="N31" s="33">
        <v>4686</v>
      </c>
      <c r="O31" s="33">
        <v>1626</v>
      </c>
      <c r="P31" s="33">
        <v>1626</v>
      </c>
      <c r="Q31" s="33">
        <v>1625</v>
      </c>
      <c r="R31" s="33">
        <v>1626</v>
      </c>
      <c r="S31" s="33">
        <v>1626</v>
      </c>
      <c r="U31" s="33">
        <f t="shared" si="4"/>
        <v>1626</v>
      </c>
      <c r="V31" s="33">
        <f t="shared" si="5"/>
        <v>11946</v>
      </c>
      <c r="W31" s="33">
        <f t="shared" si="6"/>
        <v>1626</v>
      </c>
      <c r="X31" s="33">
        <f t="shared" si="3"/>
        <v>1626</v>
      </c>
      <c r="Y31" s="29"/>
      <c r="Z31" s="29"/>
      <c r="AE31" s="158"/>
    </row>
    <row r="32" spans="2:31" s="38" customFormat="1" ht="12" customHeight="1" x14ac:dyDescent="0.2">
      <c r="B32" s="40"/>
      <c r="C32" s="41" t="s">
        <v>77</v>
      </c>
      <c r="D32" s="42">
        <f t="shared" ref="D32:F32" si="19">SUM(D33:D34)</f>
        <v>141778</v>
      </c>
      <c r="E32" s="42">
        <f t="shared" si="19"/>
        <v>154086</v>
      </c>
      <c r="F32" s="42">
        <f t="shared" si="19"/>
        <v>146643</v>
      </c>
      <c r="G32" s="42">
        <f>SUM(G33:G34)</f>
        <v>162428</v>
      </c>
      <c r="H32" s="42">
        <f t="shared" ref="H32:R32" si="20">SUM(H33:H34)</f>
        <v>161037</v>
      </c>
      <c r="I32" s="42">
        <f t="shared" si="20"/>
        <v>152107</v>
      </c>
      <c r="J32" s="42">
        <f>SUM(J33:J34)</f>
        <v>156194</v>
      </c>
      <c r="K32" s="42">
        <f t="shared" si="20"/>
        <v>160579</v>
      </c>
      <c r="L32" s="42">
        <f t="shared" si="20"/>
        <v>163867</v>
      </c>
      <c r="M32" s="42">
        <f t="shared" si="20"/>
        <v>174166</v>
      </c>
      <c r="N32" s="42">
        <f t="shared" si="20"/>
        <v>175539</v>
      </c>
      <c r="O32" s="42">
        <f t="shared" si="20"/>
        <v>147374</v>
      </c>
      <c r="P32" s="42">
        <f t="shared" si="20"/>
        <v>167996</v>
      </c>
      <c r="Q32" s="42">
        <f t="shared" si="20"/>
        <v>158824</v>
      </c>
      <c r="R32" s="42">
        <f t="shared" si="20"/>
        <v>160933</v>
      </c>
      <c r="S32" s="42">
        <f t="shared" ref="S32" si="21">SUM(S33:S34)</f>
        <v>145998</v>
      </c>
      <c r="U32" s="42">
        <f t="shared" si="4"/>
        <v>162428</v>
      </c>
      <c r="V32" s="42">
        <f t="shared" si="5"/>
        <v>160579</v>
      </c>
      <c r="W32" s="42">
        <f t="shared" si="6"/>
        <v>147374</v>
      </c>
      <c r="X32" s="42">
        <f t="shared" si="3"/>
        <v>145998</v>
      </c>
      <c r="Y32" s="29"/>
      <c r="Z32" s="29"/>
      <c r="AA32" s="29"/>
      <c r="AB32" s="158"/>
      <c r="AC32" s="173"/>
      <c r="AD32" s="158"/>
      <c r="AE32" s="158"/>
    </row>
    <row r="33" spans="2:31" ht="12" customHeight="1" x14ac:dyDescent="0.2">
      <c r="B33" s="34"/>
      <c r="C33" s="35" t="s">
        <v>55</v>
      </c>
      <c r="D33" s="36">
        <v>3332</v>
      </c>
      <c r="E33" s="36">
        <v>3258</v>
      </c>
      <c r="F33" s="36">
        <v>2096</v>
      </c>
      <c r="G33" s="36">
        <v>823</v>
      </c>
      <c r="H33" s="36">
        <v>2686</v>
      </c>
      <c r="I33" s="36">
        <v>2009</v>
      </c>
      <c r="J33" s="36">
        <v>473</v>
      </c>
      <c r="K33" s="36">
        <v>2317</v>
      </c>
      <c r="L33" s="36">
        <v>3142</v>
      </c>
      <c r="M33" s="36">
        <v>2641</v>
      </c>
      <c r="N33" s="36">
        <v>3016</v>
      </c>
      <c r="O33" s="36">
        <v>4219</v>
      </c>
      <c r="P33" s="36">
        <v>3321</v>
      </c>
      <c r="Q33" s="36">
        <v>2146</v>
      </c>
      <c r="R33" s="36">
        <v>2739</v>
      </c>
      <c r="S33" s="36">
        <v>4657</v>
      </c>
      <c r="U33" s="36">
        <f t="shared" si="4"/>
        <v>823</v>
      </c>
      <c r="V33" s="36">
        <f t="shared" si="5"/>
        <v>2317</v>
      </c>
      <c r="W33" s="36">
        <f t="shared" si="6"/>
        <v>4219</v>
      </c>
      <c r="X33" s="36">
        <f t="shared" si="3"/>
        <v>4657</v>
      </c>
      <c r="Y33" s="29"/>
      <c r="Z33" s="29"/>
      <c r="AE33" s="158"/>
    </row>
    <row r="34" spans="2:31" ht="12" customHeight="1" x14ac:dyDescent="0.2">
      <c r="B34" s="34"/>
      <c r="C34" s="35" t="s">
        <v>56</v>
      </c>
      <c r="D34" s="36">
        <v>138446</v>
      </c>
      <c r="E34" s="36">
        <v>150828</v>
      </c>
      <c r="F34" s="36">
        <v>144547</v>
      </c>
      <c r="G34" s="36">
        <v>161605</v>
      </c>
      <c r="H34" s="36">
        <v>158351</v>
      </c>
      <c r="I34" s="36">
        <v>150098</v>
      </c>
      <c r="J34" s="36">
        <v>155721</v>
      </c>
      <c r="K34" s="36">
        <v>158262</v>
      </c>
      <c r="L34" s="36">
        <v>160725</v>
      </c>
      <c r="M34" s="36">
        <v>171525</v>
      </c>
      <c r="N34" s="36">
        <v>172523</v>
      </c>
      <c r="O34" s="36">
        <v>143155</v>
      </c>
      <c r="P34" s="36">
        <v>164675</v>
      </c>
      <c r="Q34" s="36">
        <v>156678</v>
      </c>
      <c r="R34" s="36">
        <v>158194</v>
      </c>
      <c r="S34" s="36">
        <v>141341</v>
      </c>
      <c r="U34" s="36">
        <f t="shared" si="4"/>
        <v>161605</v>
      </c>
      <c r="V34" s="36">
        <f t="shared" si="5"/>
        <v>158262</v>
      </c>
      <c r="W34" s="36">
        <f t="shared" si="6"/>
        <v>143155</v>
      </c>
      <c r="X34" s="36">
        <f t="shared" si="3"/>
        <v>141341</v>
      </c>
      <c r="Y34" s="29"/>
      <c r="Z34" s="29"/>
      <c r="AE34" s="158"/>
    </row>
    <row r="35" spans="2:31" ht="12" customHeight="1" x14ac:dyDescent="0.2">
      <c r="B35" s="34"/>
      <c r="C35" s="32" t="s">
        <v>78</v>
      </c>
      <c r="D35" s="33">
        <v>1894</v>
      </c>
      <c r="E35" s="33">
        <v>555</v>
      </c>
      <c r="F35" s="33">
        <v>622</v>
      </c>
      <c r="G35" s="33">
        <v>1370</v>
      </c>
      <c r="H35" s="33">
        <v>1232</v>
      </c>
      <c r="I35" s="33">
        <v>729</v>
      </c>
      <c r="J35" s="33">
        <v>612</v>
      </c>
      <c r="K35" s="33">
        <v>2551</v>
      </c>
      <c r="L35" s="33">
        <v>3226</v>
      </c>
      <c r="M35" s="33">
        <v>378</v>
      </c>
      <c r="N35" s="33">
        <v>3529</v>
      </c>
      <c r="O35" s="33">
        <v>4518</v>
      </c>
      <c r="P35" s="33">
        <v>642</v>
      </c>
      <c r="Q35" s="33">
        <v>487</v>
      </c>
      <c r="R35" s="33">
        <v>367</v>
      </c>
      <c r="S35" s="33">
        <v>1367</v>
      </c>
      <c r="U35" s="33">
        <f t="shared" si="4"/>
        <v>1370</v>
      </c>
      <c r="V35" s="33">
        <f t="shared" si="5"/>
        <v>2551</v>
      </c>
      <c r="W35" s="33">
        <f t="shared" si="6"/>
        <v>4518</v>
      </c>
      <c r="X35" s="33">
        <f t="shared" si="3"/>
        <v>1367</v>
      </c>
      <c r="Y35" s="29"/>
      <c r="Z35" s="29"/>
      <c r="AE35" s="158"/>
    </row>
    <row r="36" spans="2:31" ht="12" customHeight="1" x14ac:dyDescent="0.2">
      <c r="B36" s="31"/>
      <c r="C36" s="32" t="s">
        <v>79</v>
      </c>
      <c r="D36" s="33">
        <v>7609</v>
      </c>
      <c r="E36" s="33">
        <v>8957</v>
      </c>
      <c r="F36" s="33">
        <v>7875</v>
      </c>
      <c r="G36" s="33">
        <v>7756</v>
      </c>
      <c r="H36" s="33">
        <v>6178</v>
      </c>
      <c r="I36" s="33">
        <v>7161</v>
      </c>
      <c r="J36" s="33">
        <v>10047</v>
      </c>
      <c r="K36" s="33">
        <v>11406</v>
      </c>
      <c r="L36" s="33">
        <v>9328</v>
      </c>
      <c r="M36" s="33">
        <v>6003</v>
      </c>
      <c r="N36" s="33">
        <v>7233</v>
      </c>
      <c r="O36" s="33">
        <v>7299</v>
      </c>
      <c r="P36" s="33">
        <v>6008</v>
      </c>
      <c r="Q36" s="33">
        <v>11086</v>
      </c>
      <c r="R36" s="33">
        <v>7569</v>
      </c>
      <c r="S36" s="33">
        <v>9759</v>
      </c>
      <c r="U36" s="33">
        <f t="shared" si="4"/>
        <v>7756</v>
      </c>
      <c r="V36" s="33">
        <f t="shared" si="5"/>
        <v>11406</v>
      </c>
      <c r="W36" s="33">
        <f t="shared" si="6"/>
        <v>7299</v>
      </c>
      <c r="X36" s="33">
        <f t="shared" si="3"/>
        <v>9759</v>
      </c>
      <c r="Y36" s="29"/>
      <c r="Z36" s="29"/>
      <c r="AE36" s="158"/>
    </row>
    <row r="37" spans="2:31" s="38" customFormat="1" ht="12" customHeight="1" x14ac:dyDescent="0.2">
      <c r="B37" s="40"/>
      <c r="C37" s="41" t="s">
        <v>80</v>
      </c>
      <c r="D37" s="42">
        <f t="shared" ref="D37:F37" si="22">SUM(D38:D39)</f>
        <v>6389</v>
      </c>
      <c r="E37" s="42">
        <f t="shared" si="22"/>
        <v>4517</v>
      </c>
      <c r="F37" s="42">
        <f t="shared" si="22"/>
        <v>3269</v>
      </c>
      <c r="G37" s="42">
        <f>SUM(G38:G39)</f>
        <v>2961</v>
      </c>
      <c r="H37" s="42">
        <f t="shared" ref="H37:R37" si="23">SUM(H38:H39)</f>
        <v>6302</v>
      </c>
      <c r="I37" s="42">
        <f t="shared" si="23"/>
        <v>5828</v>
      </c>
      <c r="J37" s="42">
        <f t="shared" si="23"/>
        <v>6002</v>
      </c>
      <c r="K37" s="42">
        <f t="shared" si="23"/>
        <v>7327</v>
      </c>
      <c r="L37" s="42">
        <f t="shared" si="23"/>
        <v>5061</v>
      </c>
      <c r="M37" s="42">
        <f t="shared" si="23"/>
        <v>7332</v>
      </c>
      <c r="N37" s="42">
        <f t="shared" si="23"/>
        <v>7013</v>
      </c>
      <c r="O37" s="42">
        <f t="shared" si="23"/>
        <v>4748</v>
      </c>
      <c r="P37" s="42">
        <f t="shared" si="23"/>
        <v>39298</v>
      </c>
      <c r="Q37" s="42">
        <f t="shared" si="23"/>
        <v>26264</v>
      </c>
      <c r="R37" s="42">
        <f t="shared" si="23"/>
        <v>25670</v>
      </c>
      <c r="S37" s="42">
        <f t="shared" ref="S37" si="24">SUM(S38:S39)</f>
        <v>24833</v>
      </c>
      <c r="U37" s="42">
        <f t="shared" si="4"/>
        <v>2961</v>
      </c>
      <c r="V37" s="42">
        <f t="shared" si="5"/>
        <v>7327</v>
      </c>
      <c r="W37" s="42">
        <f t="shared" si="6"/>
        <v>4748</v>
      </c>
      <c r="X37" s="42">
        <f t="shared" si="3"/>
        <v>24833</v>
      </c>
      <c r="Y37" s="29"/>
      <c r="Z37" s="29"/>
      <c r="AA37" s="29"/>
      <c r="AB37" s="158"/>
      <c r="AC37" s="173"/>
      <c r="AD37" s="158"/>
      <c r="AE37" s="158"/>
    </row>
    <row r="38" spans="2:31" ht="12" customHeight="1" x14ac:dyDescent="0.2">
      <c r="B38" s="34"/>
      <c r="C38" s="35" t="s">
        <v>55</v>
      </c>
      <c r="D38" s="36">
        <v>0</v>
      </c>
      <c r="E38" s="36">
        <v>0</v>
      </c>
      <c r="F38" s="36">
        <v>0</v>
      </c>
      <c r="G38" s="36">
        <v>0</v>
      </c>
      <c r="H38" s="36">
        <v>1350</v>
      </c>
      <c r="I38" s="36">
        <v>0</v>
      </c>
      <c r="J38" s="36">
        <v>0</v>
      </c>
      <c r="K38" s="36">
        <v>0</v>
      </c>
      <c r="L38" s="36">
        <v>0</v>
      </c>
      <c r="M38" s="36">
        <v>1424</v>
      </c>
      <c r="N38" s="36">
        <v>312</v>
      </c>
      <c r="O38" s="36">
        <v>0</v>
      </c>
      <c r="P38" s="36">
        <v>1361</v>
      </c>
      <c r="Q38" s="36">
        <v>877</v>
      </c>
      <c r="R38" s="36">
        <v>0</v>
      </c>
      <c r="S38" s="36">
        <v>0</v>
      </c>
      <c r="U38" s="36">
        <f t="shared" si="4"/>
        <v>0</v>
      </c>
      <c r="V38" s="36">
        <f t="shared" si="5"/>
        <v>0</v>
      </c>
      <c r="W38" s="36">
        <f t="shared" si="6"/>
        <v>0</v>
      </c>
      <c r="X38" s="36">
        <f t="shared" si="3"/>
        <v>0</v>
      </c>
      <c r="Y38" s="29"/>
      <c r="Z38" s="29"/>
      <c r="AE38" s="158"/>
    </row>
    <row r="39" spans="2:31" ht="12" customHeight="1" x14ac:dyDescent="0.2">
      <c r="B39" s="34"/>
      <c r="C39" s="35" t="s">
        <v>56</v>
      </c>
      <c r="D39" s="36">
        <v>6389</v>
      </c>
      <c r="E39" s="36">
        <v>4517</v>
      </c>
      <c r="F39" s="36">
        <v>3269</v>
      </c>
      <c r="G39" s="36">
        <v>2961</v>
      </c>
      <c r="H39" s="36">
        <v>4952</v>
      </c>
      <c r="I39" s="36">
        <v>5828</v>
      </c>
      <c r="J39" s="36">
        <v>6002</v>
      </c>
      <c r="K39" s="36">
        <v>7327</v>
      </c>
      <c r="L39" s="36">
        <v>5061</v>
      </c>
      <c r="M39" s="36">
        <v>5908</v>
      </c>
      <c r="N39" s="36">
        <v>6701</v>
      </c>
      <c r="O39" s="36">
        <v>4748</v>
      </c>
      <c r="P39" s="36">
        <v>37937</v>
      </c>
      <c r="Q39" s="36">
        <v>25387</v>
      </c>
      <c r="R39" s="36">
        <v>25670</v>
      </c>
      <c r="S39" s="36">
        <v>24833</v>
      </c>
      <c r="U39" s="36">
        <f t="shared" si="4"/>
        <v>2961</v>
      </c>
      <c r="V39" s="36">
        <f t="shared" si="5"/>
        <v>7327</v>
      </c>
      <c r="W39" s="36">
        <f t="shared" si="6"/>
        <v>4748</v>
      </c>
      <c r="X39" s="36">
        <f t="shared" si="3"/>
        <v>24833</v>
      </c>
      <c r="Y39" s="29"/>
      <c r="Z39" s="29"/>
      <c r="AE39" s="158"/>
    </row>
    <row r="40" spans="2:31" s="38" customFormat="1" ht="12" customHeight="1" x14ac:dyDescent="0.2">
      <c r="B40" s="40"/>
      <c r="C40" s="41" t="s">
        <v>81</v>
      </c>
      <c r="D40" s="42">
        <f t="shared" ref="D40:F40" si="25">SUM(D41:D42)</f>
        <v>6934</v>
      </c>
      <c r="E40" s="42">
        <f t="shared" si="25"/>
        <v>2812</v>
      </c>
      <c r="F40" s="42">
        <f t="shared" si="25"/>
        <v>4555</v>
      </c>
      <c r="G40" s="42">
        <f>SUM(G41:G42)</f>
        <v>3238</v>
      </c>
      <c r="H40" s="42">
        <f t="shared" ref="H40:R40" si="26">SUM(H41:H42)</f>
        <v>3313</v>
      </c>
      <c r="I40" s="42">
        <f t="shared" si="26"/>
        <v>4783</v>
      </c>
      <c r="J40" s="42">
        <f t="shared" si="26"/>
        <v>2289</v>
      </c>
      <c r="K40" s="42">
        <f t="shared" si="26"/>
        <v>5654</v>
      </c>
      <c r="L40" s="42">
        <f t="shared" si="26"/>
        <v>2425</v>
      </c>
      <c r="M40" s="42">
        <f t="shared" si="26"/>
        <v>1185</v>
      </c>
      <c r="N40" s="42">
        <f t="shared" si="26"/>
        <v>627</v>
      </c>
      <c r="O40" s="42">
        <f t="shared" si="26"/>
        <v>69</v>
      </c>
      <c r="P40" s="42">
        <f t="shared" si="26"/>
        <v>642</v>
      </c>
      <c r="Q40" s="42">
        <f t="shared" si="26"/>
        <v>1259</v>
      </c>
      <c r="R40" s="42">
        <f t="shared" si="26"/>
        <v>524</v>
      </c>
      <c r="S40" s="42">
        <f t="shared" ref="S40" si="27">SUM(S41:S42)</f>
        <v>226</v>
      </c>
      <c r="U40" s="42">
        <f t="shared" si="4"/>
        <v>3238</v>
      </c>
      <c r="V40" s="42">
        <f t="shared" si="5"/>
        <v>5654</v>
      </c>
      <c r="W40" s="42">
        <f t="shared" si="6"/>
        <v>69</v>
      </c>
      <c r="X40" s="42">
        <f t="shared" si="3"/>
        <v>226</v>
      </c>
      <c r="Y40" s="29"/>
      <c r="Z40" s="29"/>
      <c r="AA40" s="29"/>
      <c r="AB40" s="158"/>
      <c r="AC40" s="173"/>
      <c r="AD40" s="158"/>
      <c r="AE40" s="158"/>
    </row>
    <row r="41" spans="2:31" ht="12" customHeight="1" x14ac:dyDescent="0.2">
      <c r="B41" s="34"/>
      <c r="C41" s="35" t="s">
        <v>69</v>
      </c>
      <c r="D41" s="36">
        <v>0</v>
      </c>
      <c r="E41" s="36">
        <v>0</v>
      </c>
      <c r="F41" s="36">
        <v>0</v>
      </c>
      <c r="G41" s="36">
        <v>0</v>
      </c>
      <c r="H41" s="36">
        <v>0</v>
      </c>
      <c r="I41" s="36">
        <v>0</v>
      </c>
      <c r="J41" s="36">
        <v>0</v>
      </c>
      <c r="K41" s="36">
        <v>0</v>
      </c>
      <c r="L41" s="36">
        <v>0</v>
      </c>
      <c r="M41" s="36">
        <v>0</v>
      </c>
      <c r="N41" s="36">
        <v>0</v>
      </c>
      <c r="O41" s="36">
        <v>0</v>
      </c>
      <c r="P41" s="36">
        <v>0</v>
      </c>
      <c r="Q41" s="36">
        <v>0</v>
      </c>
      <c r="R41" s="36">
        <v>0</v>
      </c>
      <c r="S41" s="36">
        <v>0</v>
      </c>
      <c r="U41" s="36">
        <f t="shared" si="4"/>
        <v>0</v>
      </c>
      <c r="V41" s="36">
        <f t="shared" si="5"/>
        <v>0</v>
      </c>
      <c r="W41" s="36">
        <f t="shared" si="6"/>
        <v>0</v>
      </c>
      <c r="X41" s="36">
        <f t="shared" si="3"/>
        <v>0</v>
      </c>
      <c r="Y41" s="29"/>
      <c r="Z41" s="29"/>
      <c r="AE41" s="158"/>
    </row>
    <row r="42" spans="2:31" ht="12" customHeight="1" x14ac:dyDescent="0.2">
      <c r="B42" s="34"/>
      <c r="C42" s="35" t="s">
        <v>70</v>
      </c>
      <c r="D42" s="36">
        <v>6934</v>
      </c>
      <c r="E42" s="36">
        <v>2812</v>
      </c>
      <c r="F42" s="36">
        <v>4555</v>
      </c>
      <c r="G42" s="36">
        <v>3238</v>
      </c>
      <c r="H42" s="36">
        <v>3313</v>
      </c>
      <c r="I42" s="36">
        <v>4783</v>
      </c>
      <c r="J42" s="36">
        <v>2289</v>
      </c>
      <c r="K42" s="36">
        <v>5654</v>
      </c>
      <c r="L42" s="36">
        <v>2425</v>
      </c>
      <c r="M42" s="36">
        <v>1185</v>
      </c>
      <c r="N42" s="36">
        <v>627</v>
      </c>
      <c r="O42" s="36">
        <v>69</v>
      </c>
      <c r="P42" s="36">
        <v>642</v>
      </c>
      <c r="Q42" s="36">
        <v>1259</v>
      </c>
      <c r="R42" s="36">
        <v>524</v>
      </c>
      <c r="S42" s="36">
        <v>226</v>
      </c>
      <c r="U42" s="36">
        <f t="shared" si="4"/>
        <v>3238</v>
      </c>
      <c r="V42" s="36">
        <f t="shared" si="5"/>
        <v>5654</v>
      </c>
      <c r="W42" s="36">
        <f t="shared" si="6"/>
        <v>69</v>
      </c>
      <c r="X42" s="36">
        <f t="shared" si="3"/>
        <v>226</v>
      </c>
      <c r="Y42" s="29"/>
      <c r="Z42" s="29"/>
      <c r="AE42" s="158"/>
    </row>
    <row r="43" spans="2:31" s="38" customFormat="1" ht="12" customHeight="1" x14ac:dyDescent="0.2">
      <c r="B43" s="40"/>
      <c r="C43" s="41" t="s">
        <v>82</v>
      </c>
      <c r="D43" s="42">
        <f t="shared" ref="D43:F43" si="28">D44+D45</f>
        <v>0</v>
      </c>
      <c r="E43" s="42">
        <f t="shared" si="28"/>
        <v>120</v>
      </c>
      <c r="F43" s="42">
        <f t="shared" si="28"/>
        <v>40</v>
      </c>
      <c r="G43" s="42">
        <f>G44+G45</f>
        <v>50</v>
      </c>
      <c r="H43" s="42">
        <f t="shared" ref="H43:R43" si="29">H44+H45</f>
        <v>50</v>
      </c>
      <c r="I43" s="42">
        <f t="shared" si="29"/>
        <v>50</v>
      </c>
      <c r="J43" s="42">
        <f t="shared" si="29"/>
        <v>0</v>
      </c>
      <c r="K43" s="42">
        <f t="shared" si="29"/>
        <v>0</v>
      </c>
      <c r="L43" s="42">
        <f t="shared" si="29"/>
        <v>0</v>
      </c>
      <c r="M43" s="42">
        <f t="shared" si="29"/>
        <v>0</v>
      </c>
      <c r="N43" s="42">
        <f t="shared" si="29"/>
        <v>0</v>
      </c>
      <c r="O43" s="42">
        <f t="shared" si="29"/>
        <v>0</v>
      </c>
      <c r="P43" s="42">
        <f t="shared" si="29"/>
        <v>0</v>
      </c>
      <c r="Q43" s="42">
        <f t="shared" si="29"/>
        <v>0</v>
      </c>
      <c r="R43" s="42">
        <f t="shared" si="29"/>
        <v>0</v>
      </c>
      <c r="S43" s="42">
        <f t="shared" ref="S43" si="30">S44+S45</f>
        <v>0</v>
      </c>
      <c r="U43" s="42">
        <f t="shared" si="4"/>
        <v>50</v>
      </c>
      <c r="V43" s="42">
        <f t="shared" si="5"/>
        <v>0</v>
      </c>
      <c r="W43" s="42">
        <f t="shared" si="6"/>
        <v>0</v>
      </c>
      <c r="X43" s="42">
        <f t="shared" si="3"/>
        <v>0</v>
      </c>
      <c r="Y43" s="29"/>
      <c r="Z43" s="29"/>
      <c r="AA43" s="29"/>
      <c r="AB43" s="158"/>
      <c r="AC43" s="173"/>
      <c r="AD43" s="158"/>
      <c r="AE43" s="158"/>
    </row>
    <row r="44" spans="2:31" ht="12" customHeight="1" x14ac:dyDescent="0.2">
      <c r="B44" s="34"/>
      <c r="C44" s="35" t="s">
        <v>1</v>
      </c>
      <c r="D44" s="36">
        <v>0</v>
      </c>
      <c r="E44" s="36">
        <v>0</v>
      </c>
      <c r="F44" s="36">
        <v>0</v>
      </c>
      <c r="G44" s="36">
        <v>0</v>
      </c>
      <c r="H44" s="36">
        <v>0</v>
      </c>
      <c r="I44" s="36">
        <v>0</v>
      </c>
      <c r="J44" s="36">
        <v>0</v>
      </c>
      <c r="K44" s="36">
        <v>0</v>
      </c>
      <c r="L44" s="36">
        <v>0</v>
      </c>
      <c r="M44" s="36">
        <v>0</v>
      </c>
      <c r="N44" s="36">
        <v>0</v>
      </c>
      <c r="O44" s="36">
        <v>0</v>
      </c>
      <c r="P44" s="36">
        <v>0</v>
      </c>
      <c r="Q44" s="36">
        <v>0</v>
      </c>
      <c r="R44" s="36">
        <v>0</v>
      </c>
      <c r="S44" s="36">
        <v>0</v>
      </c>
      <c r="U44" s="36">
        <f t="shared" si="4"/>
        <v>0</v>
      </c>
      <c r="V44" s="36">
        <f t="shared" si="5"/>
        <v>0</v>
      </c>
      <c r="W44" s="36">
        <f t="shared" si="6"/>
        <v>0</v>
      </c>
      <c r="X44" s="36">
        <f t="shared" si="3"/>
        <v>0</v>
      </c>
      <c r="Y44" s="29"/>
      <c r="Z44" s="29"/>
      <c r="AE44" s="158"/>
    </row>
    <row r="45" spans="2:31" ht="12" customHeight="1" x14ac:dyDescent="0.2">
      <c r="B45" s="34"/>
      <c r="C45" s="35" t="s">
        <v>2</v>
      </c>
      <c r="D45" s="36">
        <v>0</v>
      </c>
      <c r="E45" s="36">
        <v>120</v>
      </c>
      <c r="F45" s="36">
        <v>40</v>
      </c>
      <c r="G45" s="36">
        <v>50</v>
      </c>
      <c r="H45" s="36">
        <v>50</v>
      </c>
      <c r="I45" s="36">
        <v>50</v>
      </c>
      <c r="J45" s="36">
        <v>0</v>
      </c>
      <c r="K45" s="36">
        <v>0</v>
      </c>
      <c r="L45" s="36">
        <v>0</v>
      </c>
      <c r="M45" s="36">
        <v>0</v>
      </c>
      <c r="N45" s="36">
        <v>0</v>
      </c>
      <c r="O45" s="36">
        <v>0</v>
      </c>
      <c r="P45" s="36">
        <v>0</v>
      </c>
      <c r="Q45" s="36">
        <v>0</v>
      </c>
      <c r="R45" s="36">
        <v>0</v>
      </c>
      <c r="S45" s="36">
        <v>0</v>
      </c>
      <c r="U45" s="36">
        <f t="shared" si="4"/>
        <v>50</v>
      </c>
      <c r="V45" s="36">
        <f t="shared" si="5"/>
        <v>0</v>
      </c>
      <c r="W45" s="36">
        <f t="shared" si="6"/>
        <v>0</v>
      </c>
      <c r="X45" s="36">
        <f t="shared" si="3"/>
        <v>0</v>
      </c>
      <c r="Y45" s="29"/>
      <c r="Z45" s="29"/>
      <c r="AE45" s="158"/>
    </row>
    <row r="46" spans="2:31" ht="12" customHeight="1" x14ac:dyDescent="0.2">
      <c r="B46" s="31"/>
      <c r="C46" s="32" t="s">
        <v>83</v>
      </c>
      <c r="D46" s="33">
        <v>45066</v>
      </c>
      <c r="E46" s="33">
        <v>31011</v>
      </c>
      <c r="F46" s="33">
        <v>28612</v>
      </c>
      <c r="G46" s="33">
        <v>29331</v>
      </c>
      <c r="H46" s="33">
        <v>36787</v>
      </c>
      <c r="I46" s="33">
        <v>24897</v>
      </c>
      <c r="J46" s="33">
        <v>24636</v>
      </c>
      <c r="K46" s="33">
        <v>34322</v>
      </c>
      <c r="L46" s="33">
        <v>45537</v>
      </c>
      <c r="M46" s="33">
        <v>39778</v>
      </c>
      <c r="N46" s="33">
        <v>37822</v>
      </c>
      <c r="O46" s="33">
        <v>29251</v>
      </c>
      <c r="P46" s="33">
        <v>40235</v>
      </c>
      <c r="Q46" s="33">
        <v>34967</v>
      </c>
      <c r="R46" s="33">
        <v>37459</v>
      </c>
      <c r="S46" s="33">
        <v>36832</v>
      </c>
      <c r="U46" s="33">
        <f t="shared" si="4"/>
        <v>29331</v>
      </c>
      <c r="V46" s="33">
        <f t="shared" si="5"/>
        <v>34322</v>
      </c>
      <c r="W46" s="33">
        <f t="shared" si="6"/>
        <v>29251</v>
      </c>
      <c r="X46" s="33">
        <f t="shared" si="3"/>
        <v>36832</v>
      </c>
      <c r="Y46" s="29"/>
      <c r="Z46" s="29"/>
      <c r="AE46" s="158"/>
    </row>
    <row r="47" spans="2:31" ht="12" customHeight="1" x14ac:dyDescent="0.2">
      <c r="B47" s="31"/>
      <c r="C47" s="32" t="s">
        <v>84</v>
      </c>
      <c r="D47" s="33"/>
      <c r="E47" s="33"/>
      <c r="F47" s="33"/>
      <c r="G47" s="33">
        <v>604</v>
      </c>
      <c r="H47" s="33">
        <v>517</v>
      </c>
      <c r="I47" s="33">
        <v>193</v>
      </c>
      <c r="J47" s="33">
        <v>417</v>
      </c>
      <c r="K47" s="33">
        <v>432</v>
      </c>
      <c r="L47" s="33">
        <v>486</v>
      </c>
      <c r="M47" s="33">
        <v>370</v>
      </c>
      <c r="N47" s="33">
        <v>396</v>
      </c>
      <c r="O47" s="33">
        <v>779</v>
      </c>
      <c r="P47" s="33">
        <v>759</v>
      </c>
      <c r="Q47" s="33">
        <v>672</v>
      </c>
      <c r="R47" s="33">
        <v>485</v>
      </c>
      <c r="S47" s="33">
        <v>556</v>
      </c>
      <c r="U47" s="33">
        <f t="shared" si="4"/>
        <v>604</v>
      </c>
      <c r="V47" s="33">
        <f t="shared" si="5"/>
        <v>432</v>
      </c>
      <c r="W47" s="33">
        <f t="shared" si="6"/>
        <v>779</v>
      </c>
      <c r="X47" s="33">
        <f t="shared" si="3"/>
        <v>556</v>
      </c>
      <c r="Y47" s="29"/>
      <c r="Z47" s="29"/>
      <c r="AE47" s="158"/>
    </row>
    <row r="48" spans="2:31" ht="12" customHeight="1" x14ac:dyDescent="0.2">
      <c r="B48" s="31"/>
      <c r="C48" s="32" t="s">
        <v>85</v>
      </c>
      <c r="D48" s="33">
        <v>7068</v>
      </c>
      <c r="E48" s="33">
        <v>6232</v>
      </c>
      <c r="F48" s="33">
        <v>5020</v>
      </c>
      <c r="G48" s="33">
        <v>3811</v>
      </c>
      <c r="H48" s="33">
        <v>7621</v>
      </c>
      <c r="I48" s="33">
        <v>4383</v>
      </c>
      <c r="J48" s="33">
        <v>4689</v>
      </c>
      <c r="K48" s="33">
        <v>4783</v>
      </c>
      <c r="L48" s="33">
        <v>7496</v>
      </c>
      <c r="M48" s="33">
        <v>5819</v>
      </c>
      <c r="N48" s="33">
        <v>5131</v>
      </c>
      <c r="O48" s="33">
        <v>4399</v>
      </c>
      <c r="P48" s="33">
        <v>7635</v>
      </c>
      <c r="Q48" s="33">
        <v>6199</v>
      </c>
      <c r="R48" s="33">
        <v>6152</v>
      </c>
      <c r="S48" s="33">
        <v>5920</v>
      </c>
      <c r="U48" s="33">
        <f t="shared" si="4"/>
        <v>3811</v>
      </c>
      <c r="V48" s="33">
        <f t="shared" si="5"/>
        <v>4783</v>
      </c>
      <c r="W48" s="33">
        <f t="shared" si="6"/>
        <v>4399</v>
      </c>
      <c r="X48" s="33">
        <f t="shared" si="3"/>
        <v>5920</v>
      </c>
      <c r="Y48" s="29"/>
      <c r="Z48" s="29"/>
      <c r="AE48" s="158"/>
    </row>
    <row r="49" spans="2:31" ht="12" customHeight="1" x14ac:dyDescent="0.2">
      <c r="B49" s="31"/>
      <c r="C49" s="32" t="s">
        <v>86</v>
      </c>
      <c r="D49" s="33">
        <v>703</v>
      </c>
      <c r="E49" s="33">
        <v>537</v>
      </c>
      <c r="F49" s="33">
        <v>493</v>
      </c>
      <c r="G49" s="33">
        <v>446</v>
      </c>
      <c r="H49" s="33">
        <v>120</v>
      </c>
      <c r="I49" s="33">
        <v>0</v>
      </c>
      <c r="J49" s="33">
        <v>0</v>
      </c>
      <c r="K49" s="33">
        <v>24775</v>
      </c>
      <c r="L49" s="33">
        <v>24130</v>
      </c>
      <c r="M49" s="33">
        <v>24130</v>
      </c>
      <c r="N49" s="33">
        <v>23201</v>
      </c>
      <c r="O49" s="33">
        <v>23201</v>
      </c>
      <c r="P49" s="33">
        <v>0</v>
      </c>
      <c r="Q49" s="33">
        <v>0</v>
      </c>
      <c r="R49" s="33">
        <v>0</v>
      </c>
      <c r="S49" s="33">
        <v>23</v>
      </c>
      <c r="U49" s="33">
        <f t="shared" si="4"/>
        <v>446</v>
      </c>
      <c r="V49" s="33">
        <f t="shared" si="5"/>
        <v>24775</v>
      </c>
      <c r="W49" s="33">
        <f t="shared" si="6"/>
        <v>23201</v>
      </c>
      <c r="X49" s="33">
        <f t="shared" si="3"/>
        <v>23</v>
      </c>
      <c r="Y49" s="29"/>
      <c r="Z49" s="29"/>
      <c r="AE49" s="158"/>
    </row>
    <row r="50" spans="2:31" ht="12" customHeight="1" thickBot="1" x14ac:dyDescent="0.25">
      <c r="B50" s="207" t="s">
        <v>87</v>
      </c>
      <c r="C50" s="207"/>
      <c r="D50" s="43">
        <f t="shared" ref="D50:F50" si="31">SUM(D10,D29)</f>
        <v>828524</v>
      </c>
      <c r="E50" s="43">
        <f t="shared" si="31"/>
        <v>842284</v>
      </c>
      <c r="F50" s="43">
        <f t="shared" si="31"/>
        <v>837730</v>
      </c>
      <c r="G50" s="43">
        <f>SUM(G10,G29)</f>
        <v>839190</v>
      </c>
      <c r="H50" s="43">
        <f t="shared" ref="H50:N50" si="32">SUM(H10,H29)</f>
        <v>871987</v>
      </c>
      <c r="I50" s="43">
        <f t="shared" si="32"/>
        <v>860208</v>
      </c>
      <c r="J50" s="43">
        <f t="shared" si="32"/>
        <v>870728</v>
      </c>
      <c r="K50" s="43">
        <f t="shared" si="32"/>
        <v>887836</v>
      </c>
      <c r="L50" s="43">
        <f t="shared" si="32"/>
        <v>903974</v>
      </c>
      <c r="M50" s="43">
        <f t="shared" si="32"/>
        <v>913866</v>
      </c>
      <c r="N50" s="43">
        <f t="shared" si="32"/>
        <v>917301</v>
      </c>
      <c r="O50" s="43">
        <f t="shared" ref="O50:P50" si="33">SUM(O10,O29)</f>
        <v>874949</v>
      </c>
      <c r="P50" s="43">
        <f t="shared" si="33"/>
        <v>952018</v>
      </c>
      <c r="Q50" s="43">
        <f t="shared" ref="Q50:R50" si="34">SUM(Q10,Q29)</f>
        <v>964698</v>
      </c>
      <c r="R50" s="43">
        <f t="shared" si="34"/>
        <v>992103</v>
      </c>
      <c r="S50" s="43">
        <f t="shared" ref="S50" si="35">SUM(S10,S29)</f>
        <v>999260</v>
      </c>
      <c r="U50" s="43">
        <f t="shared" si="4"/>
        <v>839190</v>
      </c>
      <c r="V50" s="43">
        <f t="shared" si="5"/>
        <v>887836</v>
      </c>
      <c r="W50" s="43">
        <f t="shared" si="6"/>
        <v>874949</v>
      </c>
      <c r="X50" s="43">
        <f t="shared" si="3"/>
        <v>999260</v>
      </c>
      <c r="AE50" s="158"/>
    </row>
    <row r="51" spans="2:31" ht="12" customHeight="1" x14ac:dyDescent="0.2">
      <c r="B51" s="202" t="s">
        <v>88</v>
      </c>
      <c r="C51" s="202"/>
      <c r="D51" s="39">
        <f t="shared" ref="D51:F51" si="36">SUM(D52,D64)</f>
        <v>470648</v>
      </c>
      <c r="E51" s="39">
        <f t="shared" si="36"/>
        <v>465251</v>
      </c>
      <c r="F51" s="39">
        <f t="shared" si="36"/>
        <v>477678</v>
      </c>
      <c r="G51" s="39">
        <f>SUM(G52,G64)</f>
        <v>476984</v>
      </c>
      <c r="H51" s="39">
        <f t="shared" ref="H51:N51" si="37">SUM(H52,H64)</f>
        <v>492403</v>
      </c>
      <c r="I51" s="39">
        <f t="shared" si="37"/>
        <v>480300</v>
      </c>
      <c r="J51" s="39">
        <f t="shared" si="37"/>
        <v>493907</v>
      </c>
      <c r="K51" s="39">
        <f t="shared" si="37"/>
        <v>492889</v>
      </c>
      <c r="L51" s="39">
        <f t="shared" si="37"/>
        <v>505224</v>
      </c>
      <c r="M51" s="39">
        <f t="shared" si="37"/>
        <v>520305</v>
      </c>
      <c r="N51" s="39">
        <f t="shared" si="37"/>
        <v>516265</v>
      </c>
      <c r="O51" s="39">
        <f t="shared" ref="O51:P51" si="38">SUM(O52,O64)</f>
        <v>517574</v>
      </c>
      <c r="P51" s="39">
        <f t="shared" si="38"/>
        <v>560891</v>
      </c>
      <c r="Q51" s="39">
        <f t="shared" ref="Q51:R51" si="39">SUM(Q52,Q64)</f>
        <v>551328</v>
      </c>
      <c r="R51" s="39">
        <f t="shared" si="39"/>
        <v>550918</v>
      </c>
      <c r="S51" s="39">
        <f t="shared" ref="S51" si="40">SUM(S52,S64)</f>
        <v>551275</v>
      </c>
      <c r="U51" s="39">
        <f t="shared" si="4"/>
        <v>476984</v>
      </c>
      <c r="V51" s="39">
        <f t="shared" si="5"/>
        <v>492889</v>
      </c>
      <c r="W51" s="39">
        <f t="shared" si="6"/>
        <v>517574</v>
      </c>
      <c r="X51" s="39">
        <f t="shared" si="3"/>
        <v>551275</v>
      </c>
      <c r="AE51" s="158"/>
    </row>
    <row r="52" spans="2:31" ht="12" customHeight="1" x14ac:dyDescent="0.2">
      <c r="B52" s="202" t="s">
        <v>89</v>
      </c>
      <c r="C52" s="202"/>
      <c r="D52" s="39">
        <f t="shared" ref="D52:F52" si="41">SUM(D53:D60)</f>
        <v>465513</v>
      </c>
      <c r="E52" s="39">
        <f t="shared" si="41"/>
        <v>458800</v>
      </c>
      <c r="F52" s="39">
        <f t="shared" si="41"/>
        <v>472013</v>
      </c>
      <c r="G52" s="39">
        <f>SUM(G53:G60)</f>
        <v>471391</v>
      </c>
      <c r="H52" s="39">
        <f t="shared" ref="H52:N52" si="42">SUM(H53:H60)</f>
        <v>486599</v>
      </c>
      <c r="I52" s="39">
        <f t="shared" si="42"/>
        <v>474351</v>
      </c>
      <c r="J52" s="39">
        <f t="shared" si="42"/>
        <v>487756</v>
      </c>
      <c r="K52" s="39">
        <f t="shared" si="42"/>
        <v>486189</v>
      </c>
      <c r="L52" s="39">
        <f t="shared" si="42"/>
        <v>498073</v>
      </c>
      <c r="M52" s="39">
        <f t="shared" si="42"/>
        <v>512991</v>
      </c>
      <c r="N52" s="39">
        <f t="shared" si="42"/>
        <v>508721</v>
      </c>
      <c r="O52" s="39">
        <f t="shared" ref="O52:P52" si="43">SUM(O53:O60)</f>
        <v>510089</v>
      </c>
      <c r="P52" s="39">
        <f t="shared" si="43"/>
        <v>552434</v>
      </c>
      <c r="Q52" s="39">
        <f t="shared" ref="Q52:R52" si="44">SUM(Q53:Q60)</f>
        <v>542716</v>
      </c>
      <c r="R52" s="39">
        <f t="shared" si="44"/>
        <v>547078</v>
      </c>
      <c r="S52" s="39">
        <f t="shared" ref="S52" si="45">SUM(S53:S60)</f>
        <v>547345</v>
      </c>
      <c r="U52" s="39">
        <f t="shared" si="4"/>
        <v>471391</v>
      </c>
      <c r="V52" s="39">
        <f t="shared" si="5"/>
        <v>486189</v>
      </c>
      <c r="W52" s="39">
        <f t="shared" si="6"/>
        <v>510089</v>
      </c>
      <c r="X52" s="39">
        <f t="shared" si="3"/>
        <v>547345</v>
      </c>
      <c r="AE52" s="158"/>
    </row>
    <row r="53" spans="2:31" ht="12" customHeight="1" x14ac:dyDescent="0.2">
      <c r="B53" s="31"/>
      <c r="C53" s="32" t="s">
        <v>90</v>
      </c>
      <c r="D53" s="33">
        <v>3311</v>
      </c>
      <c r="E53" s="33">
        <v>3311</v>
      </c>
      <c r="F53" s="33">
        <v>3311</v>
      </c>
      <c r="G53" s="33">
        <v>3311</v>
      </c>
      <c r="H53" s="33">
        <v>3311</v>
      </c>
      <c r="I53" s="33">
        <v>3311</v>
      </c>
      <c r="J53" s="33">
        <v>3311</v>
      </c>
      <c r="K53" s="33">
        <v>3286</v>
      </c>
      <c r="L53" s="33">
        <v>3286</v>
      </c>
      <c r="M53" s="33">
        <v>3286</v>
      </c>
      <c r="N53" s="33">
        <v>3286</v>
      </c>
      <c r="O53" s="33">
        <v>3281</v>
      </c>
      <c r="P53" s="33">
        <v>3281</v>
      </c>
      <c r="Q53" s="33">
        <v>3281</v>
      </c>
      <c r="R53" s="33">
        <v>3281</v>
      </c>
      <c r="S53" s="33">
        <v>3278</v>
      </c>
      <c r="U53" s="33">
        <f t="shared" si="4"/>
        <v>3311</v>
      </c>
      <c r="V53" s="33">
        <f t="shared" si="5"/>
        <v>3286</v>
      </c>
      <c r="W53" s="33">
        <f t="shared" si="6"/>
        <v>3281</v>
      </c>
      <c r="X53" s="33">
        <f t="shared" si="3"/>
        <v>3278</v>
      </c>
      <c r="Y53" s="29"/>
      <c r="Z53" s="29"/>
      <c r="AE53" s="158"/>
    </row>
    <row r="54" spans="2:31" ht="12" customHeight="1" x14ac:dyDescent="0.2">
      <c r="B54" s="31"/>
      <c r="C54" s="32" t="s">
        <v>307</v>
      </c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>
        <v>-3</v>
      </c>
      <c r="R54" s="33">
        <v>-3</v>
      </c>
      <c r="S54" s="33"/>
      <c r="U54" s="33">
        <f t="shared" ref="U54:U55" si="46">G54</f>
        <v>0</v>
      </c>
      <c r="V54" s="33">
        <f t="shared" ref="V54:V55" si="47">K54</f>
        <v>0</v>
      </c>
      <c r="W54" s="33">
        <f t="shared" ref="W54:W55" si="48">O54</f>
        <v>0</v>
      </c>
      <c r="X54" s="33">
        <f t="shared" ref="X54:X55" si="49">S54</f>
        <v>0</v>
      </c>
      <c r="Y54" s="29"/>
      <c r="Z54" s="29"/>
      <c r="AE54" s="158"/>
    </row>
    <row r="55" spans="2:31" ht="12" customHeight="1" x14ac:dyDescent="0.2">
      <c r="B55" s="31"/>
      <c r="C55" s="32" t="s">
        <v>308</v>
      </c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>
        <v>-3823</v>
      </c>
      <c r="P55" s="33">
        <v>-4062</v>
      </c>
      <c r="Q55" s="33">
        <v>-4181</v>
      </c>
      <c r="R55" s="33">
        <v>-4181</v>
      </c>
      <c r="S55" s="33">
        <v>-3972</v>
      </c>
      <c r="U55" s="33">
        <f t="shared" si="46"/>
        <v>0</v>
      </c>
      <c r="V55" s="33">
        <f t="shared" si="47"/>
        <v>0</v>
      </c>
      <c r="W55" s="33">
        <f t="shared" si="48"/>
        <v>-3823</v>
      </c>
      <c r="X55" s="33">
        <f t="shared" si="49"/>
        <v>-3972</v>
      </c>
      <c r="Y55" s="29"/>
      <c r="Z55" s="29"/>
      <c r="AE55" s="158"/>
    </row>
    <row r="56" spans="2:31" ht="12" customHeight="1" x14ac:dyDescent="0.2">
      <c r="B56" s="31"/>
      <c r="C56" s="32" t="s">
        <v>91</v>
      </c>
      <c r="D56" s="33">
        <v>426825</v>
      </c>
      <c r="E56" s="33">
        <v>460590</v>
      </c>
      <c r="F56" s="33">
        <v>457771</v>
      </c>
      <c r="G56" s="33">
        <v>448197</v>
      </c>
      <c r="H56" s="33">
        <v>448192</v>
      </c>
      <c r="I56" s="33">
        <v>484784</v>
      </c>
      <c r="J56" s="33">
        <v>484054</v>
      </c>
      <c r="K56" s="33">
        <v>482997</v>
      </c>
      <c r="L56" s="33">
        <v>482817</v>
      </c>
      <c r="M56" s="33">
        <v>498849</v>
      </c>
      <c r="N56" s="33">
        <v>516749</v>
      </c>
      <c r="O56" s="33">
        <v>522191</v>
      </c>
      <c r="P56" s="33">
        <f>517796-P55</f>
        <v>521858</v>
      </c>
      <c r="Q56" s="33">
        <v>553784</v>
      </c>
      <c r="R56" s="33">
        <v>553784</v>
      </c>
      <c r="S56" s="33">
        <v>553460</v>
      </c>
      <c r="U56" s="33">
        <f t="shared" si="4"/>
        <v>448197</v>
      </c>
      <c r="V56" s="33">
        <f t="shared" si="5"/>
        <v>482997</v>
      </c>
      <c r="W56" s="33">
        <f t="shared" si="6"/>
        <v>522191</v>
      </c>
      <c r="X56" s="33">
        <f t="shared" ref="X56:X95" si="50">S56</f>
        <v>553460</v>
      </c>
      <c r="Y56" s="29"/>
      <c r="Z56" s="29"/>
      <c r="AE56" s="158"/>
    </row>
    <row r="57" spans="2:31" ht="12" customHeight="1" x14ac:dyDescent="0.2">
      <c r="B57" s="31"/>
      <c r="C57" s="32" t="s">
        <v>92</v>
      </c>
      <c r="D57" s="37">
        <v>273</v>
      </c>
      <c r="E57" s="37">
        <v>273</v>
      </c>
      <c r="F57" s="37">
        <v>273</v>
      </c>
      <c r="G57" s="37">
        <v>-194</v>
      </c>
      <c r="H57" s="37">
        <v>-194</v>
      </c>
      <c r="I57" s="37">
        <v>-194</v>
      </c>
      <c r="J57" s="37">
        <v>-194</v>
      </c>
      <c r="K57" s="37">
        <v>-270</v>
      </c>
      <c r="L57" s="37">
        <v>-270</v>
      </c>
      <c r="M57" s="37">
        <v>-270</v>
      </c>
      <c r="N57" s="37">
        <v>-270</v>
      </c>
      <c r="O57" s="37">
        <v>-253</v>
      </c>
      <c r="P57" s="37">
        <v>-253</v>
      </c>
      <c r="Q57" s="37">
        <v>-253</v>
      </c>
      <c r="R57" s="37">
        <v>-253</v>
      </c>
      <c r="S57" s="37">
        <v>-86</v>
      </c>
      <c r="U57" s="37">
        <f t="shared" si="4"/>
        <v>-194</v>
      </c>
      <c r="V57" s="37">
        <f t="shared" si="5"/>
        <v>-270</v>
      </c>
      <c r="W57" s="37">
        <f t="shared" si="6"/>
        <v>-253</v>
      </c>
      <c r="X57" s="37">
        <f t="shared" si="50"/>
        <v>-86</v>
      </c>
      <c r="Y57" s="29"/>
      <c r="Z57" s="29"/>
      <c r="AE57" s="158"/>
    </row>
    <row r="58" spans="2:31" ht="12" customHeight="1" x14ac:dyDescent="0.2">
      <c r="B58" s="31"/>
      <c r="C58" s="32" t="s">
        <v>93</v>
      </c>
      <c r="D58" s="37">
        <v>-3796</v>
      </c>
      <c r="E58" s="37">
        <v>-5398</v>
      </c>
      <c r="F58" s="37">
        <v>-3787</v>
      </c>
      <c r="G58" s="37">
        <v>-4892</v>
      </c>
      <c r="H58" s="37">
        <v>-3493</v>
      </c>
      <c r="I58" s="37">
        <v>-3872</v>
      </c>
      <c r="J58" s="37">
        <v>-4101</v>
      </c>
      <c r="K58" s="37">
        <v>-1361</v>
      </c>
      <c r="L58" s="37">
        <v>-6183</v>
      </c>
      <c r="M58" s="37">
        <v>-5611</v>
      </c>
      <c r="N58" s="37">
        <v>-7497</v>
      </c>
      <c r="O58" s="37">
        <v>-4022</v>
      </c>
      <c r="P58" s="37">
        <v>-1487</v>
      </c>
      <c r="Q58" s="37">
        <v>1677</v>
      </c>
      <c r="R58" s="37">
        <v>483</v>
      </c>
      <c r="S58" s="37">
        <v>1684</v>
      </c>
      <c r="U58" s="37">
        <f t="shared" si="4"/>
        <v>-4892</v>
      </c>
      <c r="V58" s="37">
        <f t="shared" si="5"/>
        <v>-1361</v>
      </c>
      <c r="W58" s="37">
        <f t="shared" si="6"/>
        <v>-4022</v>
      </c>
      <c r="X58" s="37">
        <f t="shared" si="50"/>
        <v>1684</v>
      </c>
      <c r="Y58" s="29"/>
      <c r="Z58" s="29"/>
      <c r="AE58" s="158"/>
    </row>
    <row r="59" spans="2:31" ht="12" customHeight="1" x14ac:dyDescent="0.2">
      <c r="B59" s="31"/>
      <c r="C59" s="32" t="s">
        <v>94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U59" s="37">
        <f t="shared" si="4"/>
        <v>0</v>
      </c>
      <c r="V59" s="37">
        <f t="shared" si="5"/>
        <v>0</v>
      </c>
      <c r="W59" s="37">
        <f t="shared" si="6"/>
        <v>0</v>
      </c>
      <c r="X59" s="37">
        <f t="shared" si="50"/>
        <v>0</v>
      </c>
      <c r="Y59" s="29"/>
      <c r="Z59" s="29"/>
      <c r="AE59" s="158"/>
    </row>
    <row r="60" spans="2:31" s="38" customFormat="1" ht="12" customHeight="1" x14ac:dyDescent="0.2">
      <c r="B60" s="40"/>
      <c r="C60" s="41" t="s">
        <v>95</v>
      </c>
      <c r="D60" s="42">
        <f t="shared" ref="D60:F60" si="51">SUM(D61:D63)</f>
        <v>38900</v>
      </c>
      <c r="E60" s="42">
        <f t="shared" si="51"/>
        <v>24</v>
      </c>
      <c r="F60" s="42">
        <f t="shared" si="51"/>
        <v>14445</v>
      </c>
      <c r="G60" s="42">
        <f>SUM(G61:G63)</f>
        <v>24969</v>
      </c>
      <c r="H60" s="42">
        <f t="shared" ref="H60:R60" si="52">SUM(H61:H63)</f>
        <v>38783</v>
      </c>
      <c r="I60" s="42">
        <f t="shared" si="52"/>
        <v>-9678</v>
      </c>
      <c r="J60" s="42">
        <f t="shared" si="52"/>
        <v>4686</v>
      </c>
      <c r="K60" s="42">
        <f t="shared" si="52"/>
        <v>1537</v>
      </c>
      <c r="L60" s="42">
        <f t="shared" si="52"/>
        <v>18423</v>
      </c>
      <c r="M60" s="42">
        <f t="shared" si="52"/>
        <v>16737</v>
      </c>
      <c r="N60" s="42">
        <f t="shared" si="52"/>
        <v>-3547</v>
      </c>
      <c r="O60" s="42">
        <f t="shared" si="52"/>
        <v>-7285</v>
      </c>
      <c r="P60" s="42">
        <f t="shared" si="52"/>
        <v>33097</v>
      </c>
      <c r="Q60" s="42">
        <f t="shared" si="52"/>
        <v>-11589</v>
      </c>
      <c r="R60" s="42">
        <f t="shared" si="52"/>
        <v>-6033</v>
      </c>
      <c r="S60" s="42">
        <f t="shared" ref="S60" si="53">SUM(S61:S63)</f>
        <v>-7019</v>
      </c>
      <c r="U60" s="42">
        <f t="shared" si="4"/>
        <v>24969</v>
      </c>
      <c r="V60" s="42">
        <f t="shared" si="5"/>
        <v>1537</v>
      </c>
      <c r="W60" s="42">
        <f t="shared" si="6"/>
        <v>-7285</v>
      </c>
      <c r="X60" s="42">
        <f t="shared" si="50"/>
        <v>-7019</v>
      </c>
      <c r="Y60" s="29"/>
      <c r="Z60" s="29"/>
      <c r="AA60" s="29"/>
      <c r="AB60" s="158"/>
      <c r="AC60" s="158"/>
      <c r="AD60" s="158"/>
      <c r="AE60" s="158"/>
    </row>
    <row r="61" spans="2:31" ht="12" customHeight="1" x14ac:dyDescent="0.2">
      <c r="B61" s="34"/>
      <c r="C61" s="35" t="s">
        <v>96</v>
      </c>
      <c r="D61" s="36">
        <v>34878</v>
      </c>
      <c r="E61" s="36">
        <v>-34566</v>
      </c>
      <c r="F61" s="36">
        <v>-37176</v>
      </c>
      <c r="G61" s="36">
        <v>-31088</v>
      </c>
      <c r="H61" s="36">
        <v>35304</v>
      </c>
      <c r="I61" s="36">
        <v>-39573</v>
      </c>
      <c r="J61" s="36">
        <v>-39573</v>
      </c>
      <c r="K61" s="36">
        <v>-38724</v>
      </c>
      <c r="L61" s="36">
        <v>14685</v>
      </c>
      <c r="M61" s="36">
        <v>-1347</v>
      </c>
      <c r="N61" s="36">
        <v>-51458</v>
      </c>
      <c r="O61" s="36">
        <v>-54383</v>
      </c>
      <c r="P61" s="36">
        <v>5851</v>
      </c>
      <c r="Q61" s="36">
        <v>-61101</v>
      </c>
      <c r="R61" s="36">
        <v>-69219</v>
      </c>
      <c r="S61" s="36">
        <v>-69220</v>
      </c>
      <c r="U61" s="36">
        <f t="shared" si="4"/>
        <v>-31088</v>
      </c>
      <c r="V61" s="36">
        <f t="shared" si="5"/>
        <v>-38724</v>
      </c>
      <c r="W61" s="36">
        <f t="shared" si="6"/>
        <v>-54383</v>
      </c>
      <c r="X61" s="36">
        <f t="shared" si="50"/>
        <v>-69220</v>
      </c>
      <c r="Y61" s="29"/>
      <c r="Z61" s="29"/>
      <c r="AB61" s="173"/>
      <c r="AE61" s="158"/>
    </row>
    <row r="62" spans="2:31" ht="12" customHeight="1" x14ac:dyDescent="0.2">
      <c r="B62" s="34"/>
      <c r="C62" s="35" t="s">
        <v>97</v>
      </c>
      <c r="D62" s="36">
        <v>14349</v>
      </c>
      <c r="E62" s="36">
        <v>34590</v>
      </c>
      <c r="F62" s="36">
        <v>51621</v>
      </c>
      <c r="G62" s="36">
        <v>67788</v>
      </c>
      <c r="H62" s="36">
        <v>15210</v>
      </c>
      <c r="I62" s="36">
        <v>29895</v>
      </c>
      <c r="J62" s="36">
        <v>44259</v>
      </c>
      <c r="K62" s="36">
        <v>53410</v>
      </c>
      <c r="L62" s="36">
        <v>16886</v>
      </c>
      <c r="M62" s="36">
        <v>31232</v>
      </c>
      <c r="N62" s="36">
        <v>47911</v>
      </c>
      <c r="O62" s="36">
        <v>60234</v>
      </c>
      <c r="P62" s="36">
        <v>40382</v>
      </c>
      <c r="Q62" s="36">
        <v>49512</v>
      </c>
      <c r="R62" s="36">
        <v>63186</v>
      </c>
      <c r="S62" s="36">
        <v>62201</v>
      </c>
      <c r="U62" s="36">
        <f t="shared" si="4"/>
        <v>67788</v>
      </c>
      <c r="V62" s="36">
        <f t="shared" si="5"/>
        <v>53410</v>
      </c>
      <c r="W62" s="36">
        <f t="shared" si="6"/>
        <v>60234</v>
      </c>
      <c r="X62" s="36">
        <f t="shared" si="50"/>
        <v>62201</v>
      </c>
      <c r="Y62" s="29"/>
      <c r="Z62" s="29"/>
      <c r="AE62" s="158"/>
    </row>
    <row r="63" spans="2:31" ht="12" customHeight="1" x14ac:dyDescent="0.2">
      <c r="B63" s="34"/>
      <c r="C63" s="35" t="s">
        <v>98</v>
      </c>
      <c r="D63" s="36">
        <v>-10327</v>
      </c>
      <c r="E63" s="36">
        <v>0</v>
      </c>
      <c r="F63" s="36">
        <v>0</v>
      </c>
      <c r="G63" s="36">
        <v>-11731</v>
      </c>
      <c r="H63" s="36">
        <v>-11731</v>
      </c>
      <c r="I63" s="36">
        <v>0</v>
      </c>
      <c r="J63" s="36">
        <v>0</v>
      </c>
      <c r="K63" s="36">
        <v>-13149</v>
      </c>
      <c r="L63" s="36">
        <v>-13148</v>
      </c>
      <c r="M63" s="36">
        <v>-13148</v>
      </c>
      <c r="N63" s="36">
        <v>0</v>
      </c>
      <c r="O63" s="36">
        <v>-13136</v>
      </c>
      <c r="P63" s="36">
        <v>-13136</v>
      </c>
      <c r="Q63" s="36">
        <v>0</v>
      </c>
      <c r="R63" s="36">
        <v>0</v>
      </c>
      <c r="S63" s="36">
        <v>0</v>
      </c>
      <c r="U63" s="36">
        <f t="shared" si="4"/>
        <v>-11731</v>
      </c>
      <c r="V63" s="36">
        <f t="shared" si="5"/>
        <v>-13149</v>
      </c>
      <c r="W63" s="36">
        <f t="shared" si="6"/>
        <v>-13136</v>
      </c>
      <c r="X63" s="36">
        <f t="shared" si="50"/>
        <v>0</v>
      </c>
      <c r="Y63" s="29"/>
      <c r="Z63" s="29"/>
      <c r="AE63" s="158"/>
    </row>
    <row r="64" spans="2:31" ht="12" customHeight="1" x14ac:dyDescent="0.2">
      <c r="B64" s="208" t="s">
        <v>99</v>
      </c>
      <c r="C64" s="208"/>
      <c r="D64" s="30">
        <v>5135</v>
      </c>
      <c r="E64" s="30">
        <v>6451</v>
      </c>
      <c r="F64" s="30">
        <v>5665</v>
      </c>
      <c r="G64" s="30">
        <v>5593</v>
      </c>
      <c r="H64" s="30">
        <v>5804</v>
      </c>
      <c r="I64" s="30">
        <v>5949</v>
      </c>
      <c r="J64" s="30">
        <v>6151</v>
      </c>
      <c r="K64" s="30">
        <v>6700</v>
      </c>
      <c r="L64" s="30">
        <v>7151</v>
      </c>
      <c r="M64" s="30">
        <v>7314</v>
      </c>
      <c r="N64" s="30">
        <v>7544</v>
      </c>
      <c r="O64" s="30">
        <v>7485</v>
      </c>
      <c r="P64" s="30">
        <v>8457</v>
      </c>
      <c r="Q64" s="30">
        <v>8612</v>
      </c>
      <c r="R64" s="30">
        <v>3840</v>
      </c>
      <c r="S64" s="30">
        <v>3930</v>
      </c>
      <c r="U64" s="30">
        <f t="shared" si="4"/>
        <v>5593</v>
      </c>
      <c r="V64" s="30">
        <f t="shared" si="5"/>
        <v>6700</v>
      </c>
      <c r="W64" s="30">
        <f t="shared" si="6"/>
        <v>7485</v>
      </c>
      <c r="X64" s="30">
        <f t="shared" si="50"/>
        <v>3930</v>
      </c>
      <c r="AE64" s="158"/>
    </row>
    <row r="65" spans="2:31" ht="12" customHeight="1" x14ac:dyDescent="0.2">
      <c r="B65" s="202" t="s">
        <v>100</v>
      </c>
      <c r="C65" s="202"/>
      <c r="D65" s="39">
        <f t="shared" ref="D65:F65" si="54">SUM(D66,D78)</f>
        <v>357876</v>
      </c>
      <c r="E65" s="39">
        <f t="shared" si="54"/>
        <v>377033</v>
      </c>
      <c r="F65" s="39">
        <f t="shared" si="54"/>
        <v>360052</v>
      </c>
      <c r="G65" s="39">
        <f>SUM(G66,G78)</f>
        <v>362206</v>
      </c>
      <c r="H65" s="39">
        <f t="shared" ref="H65:N65" si="55">SUM(H66,H78)</f>
        <v>379584</v>
      </c>
      <c r="I65" s="39">
        <f t="shared" si="55"/>
        <v>379908</v>
      </c>
      <c r="J65" s="39">
        <f t="shared" si="55"/>
        <v>376821</v>
      </c>
      <c r="K65" s="39">
        <f t="shared" si="55"/>
        <v>394947</v>
      </c>
      <c r="L65" s="39">
        <f t="shared" si="55"/>
        <v>398750.00499999995</v>
      </c>
      <c r="M65" s="39">
        <f t="shared" si="55"/>
        <v>393561</v>
      </c>
      <c r="N65" s="39">
        <f t="shared" si="55"/>
        <v>401036</v>
      </c>
      <c r="O65" s="39">
        <f t="shared" ref="O65:P65" si="56">SUM(O66,O78)</f>
        <v>357375</v>
      </c>
      <c r="P65" s="39">
        <f t="shared" si="56"/>
        <v>391127</v>
      </c>
      <c r="Q65" s="39">
        <f t="shared" ref="Q65:R65" si="57">SUM(Q66,Q78)</f>
        <v>413370</v>
      </c>
      <c r="R65" s="39">
        <f t="shared" si="57"/>
        <v>441185</v>
      </c>
      <c r="S65" s="39">
        <f t="shared" ref="S65" si="58">SUM(S66,S78)</f>
        <v>447985</v>
      </c>
      <c r="U65" s="39">
        <f t="shared" si="4"/>
        <v>362206</v>
      </c>
      <c r="V65" s="39">
        <f t="shared" si="5"/>
        <v>394947</v>
      </c>
      <c r="W65" s="39">
        <f t="shared" si="6"/>
        <v>357375</v>
      </c>
      <c r="X65" s="39">
        <f t="shared" si="50"/>
        <v>447985</v>
      </c>
      <c r="AE65" s="158"/>
    </row>
    <row r="66" spans="2:31" ht="12" customHeight="1" x14ac:dyDescent="0.2">
      <c r="B66" s="205" t="s">
        <v>101</v>
      </c>
      <c r="C66" s="206"/>
      <c r="D66" s="39">
        <f t="shared" ref="D66:F66" si="59">SUM(D67,D70,D73:D77)</f>
        <v>68803</v>
      </c>
      <c r="E66" s="39">
        <f t="shared" si="59"/>
        <v>54579</v>
      </c>
      <c r="F66" s="39">
        <f t="shared" si="59"/>
        <v>56157</v>
      </c>
      <c r="G66" s="39">
        <f>SUM(G67,G70,G73:G77)</f>
        <v>54769</v>
      </c>
      <c r="H66" s="39">
        <f t="shared" ref="H66:N66" si="60">SUM(H67,H70,H73:H77)</f>
        <v>62611</v>
      </c>
      <c r="I66" s="39">
        <f t="shared" si="60"/>
        <v>68254</v>
      </c>
      <c r="J66" s="39">
        <f t="shared" si="60"/>
        <v>69706</v>
      </c>
      <c r="K66" s="39">
        <f t="shared" si="60"/>
        <v>57597</v>
      </c>
      <c r="L66" s="39">
        <f t="shared" si="60"/>
        <v>55728</v>
      </c>
      <c r="M66" s="39">
        <f t="shared" si="60"/>
        <v>52955</v>
      </c>
      <c r="N66" s="39">
        <f t="shared" si="60"/>
        <v>46406</v>
      </c>
      <c r="O66" s="39">
        <f t="shared" ref="O66:P66" si="61">SUM(O67,O70,O73:O77)</f>
        <v>46456</v>
      </c>
      <c r="P66" s="39">
        <f t="shared" si="61"/>
        <v>49016</v>
      </c>
      <c r="Q66" s="39">
        <f t="shared" ref="Q66:R66" si="62">SUM(Q67,Q70,Q73:Q77)</f>
        <v>49808</v>
      </c>
      <c r="R66" s="39">
        <f t="shared" si="62"/>
        <v>63532</v>
      </c>
      <c r="S66" s="39">
        <f t="shared" ref="S66" si="63">SUM(S67,S70,S73:S77)</f>
        <v>71501</v>
      </c>
      <c r="U66" s="39">
        <f t="shared" si="4"/>
        <v>54769</v>
      </c>
      <c r="V66" s="39">
        <f t="shared" si="5"/>
        <v>57597</v>
      </c>
      <c r="W66" s="39">
        <f t="shared" si="6"/>
        <v>46456</v>
      </c>
      <c r="X66" s="39">
        <f t="shared" si="50"/>
        <v>71501</v>
      </c>
      <c r="AE66" s="158"/>
    </row>
    <row r="67" spans="2:31" s="38" customFormat="1" ht="12" customHeight="1" x14ac:dyDescent="0.2">
      <c r="B67" s="40"/>
      <c r="C67" s="41" t="s">
        <v>102</v>
      </c>
      <c r="D67" s="42">
        <f t="shared" ref="D67:F67" si="64">SUM(D68:D69)</f>
        <v>44065</v>
      </c>
      <c r="E67" s="42">
        <f t="shared" si="64"/>
        <v>28312</v>
      </c>
      <c r="F67" s="42">
        <f t="shared" si="64"/>
        <v>26601</v>
      </c>
      <c r="G67" s="42">
        <f>SUM(G68:G69)</f>
        <v>24007</v>
      </c>
      <c r="H67" s="42">
        <f t="shared" ref="H67:N67" si="65">SUM(H68:H69)</f>
        <v>22452</v>
      </c>
      <c r="I67" s="42">
        <f t="shared" si="65"/>
        <v>20835</v>
      </c>
      <c r="J67" s="42">
        <f t="shared" si="65"/>
        <v>18299</v>
      </c>
      <c r="K67" s="42">
        <f t="shared" si="65"/>
        <v>15895</v>
      </c>
      <c r="L67" s="42">
        <f t="shared" si="65"/>
        <v>13993</v>
      </c>
      <c r="M67" s="42">
        <f t="shared" si="65"/>
        <v>11840</v>
      </c>
      <c r="N67" s="42">
        <f t="shared" si="65"/>
        <v>5228</v>
      </c>
      <c r="O67" s="42">
        <f t="shared" ref="O67:P67" si="66">SUM(O68:O69)</f>
        <v>4183</v>
      </c>
      <c r="P67" s="42">
        <f t="shared" si="66"/>
        <v>10948</v>
      </c>
      <c r="Q67" s="42">
        <f t="shared" ref="Q67:R67" si="67">SUM(Q68:Q69)</f>
        <v>14603</v>
      </c>
      <c r="R67" s="42">
        <f t="shared" si="67"/>
        <v>28127</v>
      </c>
      <c r="S67" s="42">
        <f t="shared" ref="S67" si="68">SUM(S68:S69)</f>
        <v>35980</v>
      </c>
      <c r="U67" s="42">
        <f t="shared" si="4"/>
        <v>24007</v>
      </c>
      <c r="V67" s="42">
        <f t="shared" si="5"/>
        <v>15895</v>
      </c>
      <c r="W67" s="42">
        <f t="shared" si="6"/>
        <v>4183</v>
      </c>
      <c r="X67" s="42">
        <f t="shared" si="50"/>
        <v>35980</v>
      </c>
      <c r="Y67" s="29"/>
      <c r="Z67" s="29"/>
      <c r="AA67" s="29"/>
      <c r="AB67" s="158"/>
      <c r="AC67" s="158"/>
      <c r="AD67" s="158"/>
      <c r="AE67" s="158"/>
    </row>
    <row r="68" spans="2:31" ht="12" customHeight="1" x14ac:dyDescent="0.2">
      <c r="B68" s="34"/>
      <c r="C68" s="35" t="s">
        <v>55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U68" s="36">
        <f t="shared" si="4"/>
        <v>0</v>
      </c>
      <c r="V68" s="36">
        <f t="shared" si="5"/>
        <v>0</v>
      </c>
      <c r="W68" s="36">
        <f t="shared" si="6"/>
        <v>0</v>
      </c>
      <c r="X68" s="36">
        <f t="shared" si="50"/>
        <v>0</v>
      </c>
      <c r="Y68" s="29"/>
      <c r="Z68" s="29"/>
      <c r="AB68" s="173"/>
      <c r="AE68" s="158"/>
    </row>
    <row r="69" spans="2:31" ht="12" customHeight="1" x14ac:dyDescent="0.2">
      <c r="B69" s="34"/>
      <c r="C69" s="35" t="s">
        <v>56</v>
      </c>
      <c r="D69" s="36">
        <v>44065</v>
      </c>
      <c r="E69" s="36">
        <v>28312</v>
      </c>
      <c r="F69" s="36">
        <v>26601</v>
      </c>
      <c r="G69" s="36">
        <v>24007</v>
      </c>
      <c r="H69" s="36">
        <v>22452</v>
      </c>
      <c r="I69" s="36">
        <v>20835</v>
      </c>
      <c r="J69" s="36">
        <v>18299</v>
      </c>
      <c r="K69" s="36">
        <v>15895</v>
      </c>
      <c r="L69" s="36">
        <v>13993</v>
      </c>
      <c r="M69" s="36">
        <v>11840</v>
      </c>
      <c r="N69" s="36">
        <v>5228</v>
      </c>
      <c r="O69" s="36">
        <v>4183</v>
      </c>
      <c r="P69" s="36">
        <v>10948</v>
      </c>
      <c r="Q69" s="36">
        <v>14603</v>
      </c>
      <c r="R69" s="36">
        <v>28127</v>
      </c>
      <c r="S69" s="36">
        <v>35980</v>
      </c>
      <c r="U69" s="36">
        <f t="shared" si="4"/>
        <v>24007</v>
      </c>
      <c r="V69" s="36">
        <f t="shared" si="5"/>
        <v>15895</v>
      </c>
      <c r="W69" s="36">
        <f t="shared" si="6"/>
        <v>4183</v>
      </c>
      <c r="X69" s="36">
        <f t="shared" si="50"/>
        <v>35980</v>
      </c>
      <c r="Y69" s="29"/>
      <c r="Z69" s="29"/>
      <c r="AE69" s="158"/>
    </row>
    <row r="70" spans="2:31" s="38" customFormat="1" ht="12" customHeight="1" x14ac:dyDescent="0.2">
      <c r="B70" s="40"/>
      <c r="C70" s="41" t="s">
        <v>103</v>
      </c>
      <c r="D70" s="42">
        <f t="shared" ref="D70:F70" si="69">D71+D72</f>
        <v>8625</v>
      </c>
      <c r="E70" s="42">
        <f t="shared" si="69"/>
        <v>10909</v>
      </c>
      <c r="F70" s="42">
        <f t="shared" si="69"/>
        <v>16704</v>
      </c>
      <c r="G70" s="42">
        <f>G71+G72</f>
        <v>9383</v>
      </c>
      <c r="H70" s="42">
        <f t="shared" ref="H70:R70" si="70">H71+H72</f>
        <v>9556</v>
      </c>
      <c r="I70" s="42">
        <f t="shared" si="70"/>
        <v>7882</v>
      </c>
      <c r="J70" s="42">
        <f t="shared" si="70"/>
        <v>11516</v>
      </c>
      <c r="K70" s="42">
        <f t="shared" si="70"/>
        <v>2470</v>
      </c>
      <c r="L70" s="42">
        <f t="shared" si="70"/>
        <v>3776</v>
      </c>
      <c r="M70" s="42">
        <f t="shared" si="70"/>
        <v>1863</v>
      </c>
      <c r="N70" s="42">
        <f t="shared" si="70"/>
        <v>1899</v>
      </c>
      <c r="O70" s="42">
        <f t="shared" si="70"/>
        <v>2105</v>
      </c>
      <c r="P70" s="42">
        <f t="shared" si="70"/>
        <v>1956</v>
      </c>
      <c r="Q70" s="42">
        <f t="shared" si="70"/>
        <v>805</v>
      </c>
      <c r="R70" s="42">
        <f t="shared" si="70"/>
        <v>845</v>
      </c>
      <c r="S70" s="42">
        <f t="shared" ref="S70" si="71">S71+S72</f>
        <v>3518</v>
      </c>
      <c r="U70" s="42">
        <f t="shared" si="4"/>
        <v>9383</v>
      </c>
      <c r="V70" s="42">
        <f t="shared" si="5"/>
        <v>2470</v>
      </c>
      <c r="W70" s="42">
        <f t="shared" si="6"/>
        <v>2105</v>
      </c>
      <c r="X70" s="42">
        <f t="shared" si="50"/>
        <v>3518</v>
      </c>
      <c r="Y70" s="29"/>
      <c r="Z70" s="29"/>
      <c r="AA70" s="29"/>
      <c r="AB70" s="158"/>
      <c r="AC70" s="158"/>
      <c r="AD70" s="158"/>
      <c r="AE70" s="158"/>
    </row>
    <row r="71" spans="2:31" ht="12" customHeight="1" x14ac:dyDescent="0.2">
      <c r="B71" s="34"/>
      <c r="C71" s="35" t="s">
        <v>104</v>
      </c>
      <c r="D71" s="36">
        <v>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  <c r="O71" s="36">
        <v>0</v>
      </c>
      <c r="P71" s="36">
        <v>0</v>
      </c>
      <c r="Q71" s="36">
        <v>0</v>
      </c>
      <c r="R71" s="36">
        <v>0</v>
      </c>
      <c r="S71" s="36">
        <v>0</v>
      </c>
      <c r="U71" s="36">
        <f t="shared" si="4"/>
        <v>0</v>
      </c>
      <c r="V71" s="36">
        <f t="shared" si="5"/>
        <v>0</v>
      </c>
      <c r="W71" s="36">
        <f t="shared" si="6"/>
        <v>0</v>
      </c>
      <c r="X71" s="36">
        <f t="shared" si="50"/>
        <v>0</v>
      </c>
      <c r="Y71" s="29"/>
      <c r="Z71" s="29"/>
      <c r="AB71" s="173"/>
      <c r="AE71" s="158"/>
    </row>
    <row r="72" spans="2:31" ht="12" customHeight="1" x14ac:dyDescent="0.2">
      <c r="B72" s="34"/>
      <c r="C72" s="35" t="s">
        <v>105</v>
      </c>
      <c r="D72" s="36">
        <v>8625</v>
      </c>
      <c r="E72" s="36">
        <v>10909</v>
      </c>
      <c r="F72" s="36">
        <v>16704</v>
      </c>
      <c r="G72" s="36">
        <v>9383</v>
      </c>
      <c r="H72" s="36">
        <v>9556</v>
      </c>
      <c r="I72" s="36">
        <v>7882</v>
      </c>
      <c r="J72" s="36">
        <v>11516</v>
      </c>
      <c r="K72" s="36">
        <v>2470</v>
      </c>
      <c r="L72" s="36">
        <v>3776</v>
      </c>
      <c r="M72" s="36">
        <v>1863</v>
      </c>
      <c r="N72" s="36">
        <v>1899</v>
      </c>
      <c r="O72" s="36">
        <v>2105</v>
      </c>
      <c r="P72" s="36">
        <v>1956</v>
      </c>
      <c r="Q72" s="36">
        <v>805</v>
      </c>
      <c r="R72" s="36">
        <v>845</v>
      </c>
      <c r="S72" s="36">
        <v>3518</v>
      </c>
      <c r="U72" s="36">
        <f t="shared" si="4"/>
        <v>9383</v>
      </c>
      <c r="V72" s="36">
        <f t="shared" si="5"/>
        <v>2470</v>
      </c>
      <c r="W72" s="36">
        <f t="shared" si="6"/>
        <v>2105</v>
      </c>
      <c r="X72" s="36">
        <f t="shared" si="50"/>
        <v>3518</v>
      </c>
      <c r="Y72" s="29"/>
      <c r="Z72" s="29"/>
      <c r="AE72" s="158"/>
    </row>
    <row r="73" spans="2:31" ht="12" customHeight="1" x14ac:dyDescent="0.2">
      <c r="B73" s="34"/>
      <c r="C73" s="35" t="s">
        <v>106</v>
      </c>
      <c r="D73" s="36"/>
      <c r="E73" s="36"/>
      <c r="F73" s="36"/>
      <c r="G73" s="36">
        <v>3407</v>
      </c>
      <c r="H73" s="36">
        <v>0</v>
      </c>
      <c r="I73" s="36">
        <v>0</v>
      </c>
      <c r="J73" s="36"/>
      <c r="K73" s="36">
        <v>1954</v>
      </c>
      <c r="L73" s="36">
        <v>1709</v>
      </c>
      <c r="M73" s="36">
        <v>1465</v>
      </c>
      <c r="N73" s="36">
        <v>1221</v>
      </c>
      <c r="O73" s="36">
        <v>976</v>
      </c>
      <c r="P73" s="36">
        <v>732</v>
      </c>
      <c r="Q73" s="36">
        <v>488</v>
      </c>
      <c r="R73" s="36">
        <v>243</v>
      </c>
      <c r="S73" s="36">
        <v>0</v>
      </c>
      <c r="U73" s="36">
        <f t="shared" si="4"/>
        <v>3407</v>
      </c>
      <c r="V73" s="36">
        <f t="shared" si="5"/>
        <v>1954</v>
      </c>
      <c r="W73" s="36">
        <f t="shared" si="6"/>
        <v>976</v>
      </c>
      <c r="X73" s="36">
        <f t="shared" si="50"/>
        <v>0</v>
      </c>
      <c r="Y73" s="29"/>
      <c r="Z73" s="29"/>
      <c r="AE73" s="158"/>
    </row>
    <row r="74" spans="2:31" ht="12" customHeight="1" x14ac:dyDescent="0.2">
      <c r="B74" s="34"/>
      <c r="C74" s="35" t="s">
        <v>107</v>
      </c>
      <c r="D74" s="36"/>
      <c r="E74" s="36"/>
      <c r="F74" s="36"/>
      <c r="G74" s="36">
        <v>5643</v>
      </c>
      <c r="H74" s="36">
        <v>18273</v>
      </c>
      <c r="I74" s="36">
        <v>24238</v>
      </c>
      <c r="J74" s="36">
        <v>24932</v>
      </c>
      <c r="K74" s="36">
        <v>21112</v>
      </c>
      <c r="L74" s="36">
        <v>20312</v>
      </c>
      <c r="M74" s="36">
        <v>21929</v>
      </c>
      <c r="N74" s="36">
        <v>20633</v>
      </c>
      <c r="O74" s="36">
        <v>22690</v>
      </c>
      <c r="P74" s="36">
        <v>20667</v>
      </c>
      <c r="Q74" s="36">
        <v>19424</v>
      </c>
      <c r="R74" s="36">
        <v>20160</v>
      </c>
      <c r="S74" s="36">
        <v>19642</v>
      </c>
      <c r="U74" s="36">
        <f t="shared" si="4"/>
        <v>5643</v>
      </c>
      <c r="V74" s="36">
        <f t="shared" si="5"/>
        <v>21112</v>
      </c>
      <c r="W74" s="36">
        <f t="shared" si="6"/>
        <v>22690</v>
      </c>
      <c r="X74" s="36">
        <f t="shared" si="50"/>
        <v>19642</v>
      </c>
      <c r="Y74" s="29"/>
      <c r="Z74" s="29"/>
      <c r="AE74" s="158"/>
    </row>
    <row r="75" spans="2:31" ht="12" customHeight="1" x14ac:dyDescent="0.2">
      <c r="B75" s="31"/>
      <c r="C75" s="32" t="s">
        <v>108</v>
      </c>
      <c r="D75" s="33">
        <v>8176</v>
      </c>
      <c r="E75" s="33">
        <v>7408</v>
      </c>
      <c r="F75" s="33">
        <v>4902</v>
      </c>
      <c r="G75" s="33">
        <v>4223</v>
      </c>
      <c r="H75" s="33">
        <v>4223</v>
      </c>
      <c r="I75" s="33">
        <v>7175</v>
      </c>
      <c r="J75" s="33">
        <v>6835</v>
      </c>
      <c r="K75" s="33">
        <v>7062</v>
      </c>
      <c r="L75" s="33">
        <v>6834</v>
      </c>
      <c r="M75" s="33">
        <v>6754</v>
      </c>
      <c r="N75" s="33">
        <v>7520</v>
      </c>
      <c r="O75" s="33">
        <v>7151</v>
      </c>
      <c r="P75" s="33">
        <v>5362</v>
      </c>
      <c r="Q75" s="33">
        <v>5137</v>
      </c>
      <c r="R75" s="33">
        <v>4860</v>
      </c>
      <c r="S75" s="33">
        <v>4432</v>
      </c>
      <c r="U75" s="33">
        <f t="shared" si="4"/>
        <v>4223</v>
      </c>
      <c r="V75" s="33">
        <f t="shared" si="5"/>
        <v>7062</v>
      </c>
      <c r="W75" s="33">
        <f t="shared" si="6"/>
        <v>7151</v>
      </c>
      <c r="X75" s="33">
        <f t="shared" si="50"/>
        <v>4432</v>
      </c>
      <c r="Y75" s="29"/>
      <c r="Z75" s="29"/>
      <c r="AE75" s="158"/>
    </row>
    <row r="76" spans="2:31" ht="12" customHeight="1" x14ac:dyDescent="0.2">
      <c r="B76" s="31"/>
      <c r="C76" s="32" t="s">
        <v>109</v>
      </c>
      <c r="D76" s="33">
        <v>6736</v>
      </c>
      <c r="E76" s="33">
        <v>6736</v>
      </c>
      <c r="F76" s="33">
        <v>6736</v>
      </c>
      <c r="G76" s="33">
        <v>7128</v>
      </c>
      <c r="H76" s="33">
        <v>7128</v>
      </c>
      <c r="I76" s="33">
        <v>7128</v>
      </c>
      <c r="J76" s="33">
        <v>7128</v>
      </c>
      <c r="K76" s="33">
        <v>8111</v>
      </c>
      <c r="L76" s="33">
        <v>8111</v>
      </c>
      <c r="M76" s="33">
        <v>8111</v>
      </c>
      <c r="N76" s="33">
        <v>8912</v>
      </c>
      <c r="O76" s="33">
        <v>8354</v>
      </c>
      <c r="P76" s="33">
        <v>8354</v>
      </c>
      <c r="Q76" s="33">
        <v>8354</v>
      </c>
      <c r="R76" s="33">
        <v>8354</v>
      </c>
      <c r="S76" s="33">
        <v>7227</v>
      </c>
      <c r="U76" s="33">
        <f t="shared" si="4"/>
        <v>7128</v>
      </c>
      <c r="V76" s="33">
        <f t="shared" si="5"/>
        <v>8111</v>
      </c>
      <c r="W76" s="33">
        <f t="shared" si="6"/>
        <v>8354</v>
      </c>
      <c r="X76" s="33">
        <f t="shared" si="50"/>
        <v>7227</v>
      </c>
      <c r="Y76" s="29"/>
      <c r="Z76" s="29"/>
      <c r="AE76" s="158"/>
    </row>
    <row r="77" spans="2:31" ht="12" customHeight="1" x14ac:dyDescent="0.2">
      <c r="B77" s="31"/>
      <c r="C77" s="32" t="s">
        <v>110</v>
      </c>
      <c r="D77" s="33">
        <v>1201</v>
      </c>
      <c r="E77" s="33">
        <v>1214</v>
      </c>
      <c r="F77" s="33">
        <v>1214</v>
      </c>
      <c r="G77" s="33">
        <v>978</v>
      </c>
      <c r="H77" s="33">
        <v>979</v>
      </c>
      <c r="I77" s="33">
        <v>996</v>
      </c>
      <c r="J77" s="33">
        <v>996</v>
      </c>
      <c r="K77" s="33">
        <v>993</v>
      </c>
      <c r="L77" s="33">
        <v>993</v>
      </c>
      <c r="M77" s="33">
        <v>993</v>
      </c>
      <c r="N77" s="33">
        <v>993</v>
      </c>
      <c r="O77" s="33">
        <v>997</v>
      </c>
      <c r="P77" s="33">
        <v>997</v>
      </c>
      <c r="Q77" s="33">
        <v>997</v>
      </c>
      <c r="R77" s="33">
        <v>943</v>
      </c>
      <c r="S77" s="33">
        <v>702</v>
      </c>
      <c r="U77" s="33">
        <f t="shared" ref="U77:U94" si="72">G77</f>
        <v>978</v>
      </c>
      <c r="V77" s="33">
        <f t="shared" ref="V77:V94" si="73">K77</f>
        <v>993</v>
      </c>
      <c r="W77" s="33">
        <f t="shared" ref="W77:W95" si="74">O77</f>
        <v>997</v>
      </c>
      <c r="X77" s="33">
        <f t="shared" si="50"/>
        <v>702</v>
      </c>
      <c r="Y77" s="29"/>
      <c r="Z77" s="29"/>
      <c r="AE77" s="158"/>
    </row>
    <row r="78" spans="2:31" ht="12" customHeight="1" x14ac:dyDescent="0.2">
      <c r="B78" s="205" t="s">
        <v>111</v>
      </c>
      <c r="C78" s="206"/>
      <c r="D78" s="39">
        <f t="shared" ref="D78:F78" si="75">SUM(D79,D82,D85:D88,D91:D94)</f>
        <v>289073</v>
      </c>
      <c r="E78" s="39">
        <f t="shared" si="75"/>
        <v>322454</v>
      </c>
      <c r="F78" s="39">
        <f t="shared" si="75"/>
        <v>303895</v>
      </c>
      <c r="G78" s="39">
        <f>SUM(G79,G82,G85:G88,G91:G94)</f>
        <v>307437</v>
      </c>
      <c r="H78" s="39">
        <f t="shared" ref="H78:N78" si="76">SUM(H79,H82,H85:H88,H91:H94)</f>
        <v>316973</v>
      </c>
      <c r="I78" s="39">
        <f t="shared" si="76"/>
        <v>311654</v>
      </c>
      <c r="J78" s="39">
        <f t="shared" si="76"/>
        <v>307115</v>
      </c>
      <c r="K78" s="39">
        <f t="shared" si="76"/>
        <v>337350</v>
      </c>
      <c r="L78" s="39">
        <f t="shared" si="76"/>
        <v>343022.00499999995</v>
      </c>
      <c r="M78" s="39">
        <f t="shared" si="76"/>
        <v>340606</v>
      </c>
      <c r="N78" s="39">
        <f t="shared" si="76"/>
        <v>354630</v>
      </c>
      <c r="O78" s="39">
        <f t="shared" ref="O78:P78" si="77">SUM(O79,O82,O85:O88,O91:O94)</f>
        <v>310919</v>
      </c>
      <c r="P78" s="39">
        <f t="shared" si="77"/>
        <v>342111</v>
      </c>
      <c r="Q78" s="39">
        <f t="shared" ref="Q78:R78" si="78">SUM(Q79,Q82,Q85:Q88,Q91:Q94)</f>
        <v>363562</v>
      </c>
      <c r="R78" s="39">
        <f t="shared" si="78"/>
        <v>377653</v>
      </c>
      <c r="S78" s="39">
        <f t="shared" ref="S78" si="79">SUM(S79,S82,S85:S88,S91:S94)</f>
        <v>376484</v>
      </c>
      <c r="U78" s="39">
        <f t="shared" si="72"/>
        <v>307437</v>
      </c>
      <c r="V78" s="39">
        <f t="shared" si="73"/>
        <v>337350</v>
      </c>
      <c r="W78" s="39">
        <f t="shared" si="74"/>
        <v>310919</v>
      </c>
      <c r="X78" s="39">
        <f t="shared" si="50"/>
        <v>376484</v>
      </c>
      <c r="AE78" s="158"/>
    </row>
    <row r="79" spans="2:31" s="38" customFormat="1" ht="12" customHeight="1" x14ac:dyDescent="0.2">
      <c r="B79" s="40"/>
      <c r="C79" s="41" t="s">
        <v>112</v>
      </c>
      <c r="D79" s="42">
        <f t="shared" ref="D79:F79" si="80">SUM(D80:D81)</f>
        <v>113153</v>
      </c>
      <c r="E79" s="42">
        <f t="shared" si="80"/>
        <v>142457</v>
      </c>
      <c r="F79" s="42">
        <f t="shared" si="80"/>
        <v>138881</v>
      </c>
      <c r="G79" s="42">
        <f>SUM(G80:G81)</f>
        <v>139286</v>
      </c>
      <c r="H79" s="42">
        <f t="shared" ref="H79:N79" si="81">SUM(H80:H81)</f>
        <v>148374</v>
      </c>
      <c r="I79" s="42">
        <f t="shared" si="81"/>
        <v>144928</v>
      </c>
      <c r="J79" s="42">
        <f t="shared" si="81"/>
        <v>136981</v>
      </c>
      <c r="K79" s="42">
        <f t="shared" si="81"/>
        <v>139261</v>
      </c>
      <c r="L79" s="42">
        <f t="shared" si="81"/>
        <v>127029</v>
      </c>
      <c r="M79" s="42">
        <f t="shared" si="81"/>
        <v>131896</v>
      </c>
      <c r="N79" s="42">
        <f t="shared" si="81"/>
        <v>147992</v>
      </c>
      <c r="O79" s="42">
        <f t="shared" ref="O79:P79" si="82">SUM(O80:O81)</f>
        <v>125218</v>
      </c>
      <c r="P79" s="42">
        <f t="shared" si="82"/>
        <v>129163</v>
      </c>
      <c r="Q79" s="42">
        <f t="shared" ref="Q79:R79" si="83">SUM(Q80:Q81)</f>
        <v>135826</v>
      </c>
      <c r="R79" s="42">
        <f t="shared" si="83"/>
        <v>173411</v>
      </c>
      <c r="S79" s="42">
        <f t="shared" ref="S79" si="84">SUM(S80:S81)</f>
        <v>175448</v>
      </c>
      <c r="U79" s="42">
        <f t="shared" si="72"/>
        <v>139286</v>
      </c>
      <c r="V79" s="42">
        <f t="shared" si="73"/>
        <v>139261</v>
      </c>
      <c r="W79" s="42">
        <f t="shared" si="74"/>
        <v>125218</v>
      </c>
      <c r="X79" s="42">
        <f t="shared" si="50"/>
        <v>175448</v>
      </c>
      <c r="Y79" s="29"/>
      <c r="Z79" s="29"/>
      <c r="AA79" s="29"/>
      <c r="AB79" s="158"/>
      <c r="AC79" s="158"/>
      <c r="AD79" s="158"/>
      <c r="AE79" s="158"/>
    </row>
    <row r="80" spans="2:31" ht="12" customHeight="1" x14ac:dyDescent="0.2">
      <c r="B80" s="34"/>
      <c r="C80" s="35" t="s">
        <v>55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U80" s="36">
        <f t="shared" si="72"/>
        <v>0</v>
      </c>
      <c r="V80" s="36">
        <f t="shared" si="73"/>
        <v>0</v>
      </c>
      <c r="W80" s="36">
        <f t="shared" si="74"/>
        <v>0</v>
      </c>
      <c r="X80" s="36">
        <f t="shared" si="50"/>
        <v>0</v>
      </c>
      <c r="Y80" s="29"/>
      <c r="Z80" s="29"/>
      <c r="AC80" s="173"/>
      <c r="AE80" s="158"/>
    </row>
    <row r="81" spans="2:31" ht="12" customHeight="1" x14ac:dyDescent="0.2">
      <c r="B81" s="34"/>
      <c r="C81" s="35" t="s">
        <v>56</v>
      </c>
      <c r="D81" s="36">
        <v>113153</v>
      </c>
      <c r="E81" s="36">
        <v>142457</v>
      </c>
      <c r="F81" s="36">
        <v>138881</v>
      </c>
      <c r="G81" s="36">
        <v>139286</v>
      </c>
      <c r="H81" s="36">
        <v>148374</v>
      </c>
      <c r="I81" s="36">
        <v>144928</v>
      </c>
      <c r="J81" s="36">
        <v>136981</v>
      </c>
      <c r="K81" s="36">
        <v>139261</v>
      </c>
      <c r="L81" s="36">
        <v>127029</v>
      </c>
      <c r="M81" s="36">
        <v>131896</v>
      </c>
      <c r="N81" s="36">
        <v>147992</v>
      </c>
      <c r="O81" s="36">
        <v>125218</v>
      </c>
      <c r="P81" s="36">
        <v>129163</v>
      </c>
      <c r="Q81" s="36">
        <v>135826</v>
      </c>
      <c r="R81" s="36">
        <v>173411</v>
      </c>
      <c r="S81" s="36">
        <v>175448</v>
      </c>
      <c r="U81" s="36">
        <f t="shared" si="72"/>
        <v>139286</v>
      </c>
      <c r="V81" s="36">
        <f t="shared" si="73"/>
        <v>139261</v>
      </c>
      <c r="W81" s="36">
        <f t="shared" si="74"/>
        <v>125218</v>
      </c>
      <c r="X81" s="36">
        <f t="shared" si="50"/>
        <v>175448</v>
      </c>
      <c r="Y81" s="29"/>
      <c r="Z81" s="29"/>
      <c r="AE81" s="158"/>
    </row>
    <row r="82" spans="2:31" s="38" customFormat="1" ht="12" customHeight="1" x14ac:dyDescent="0.2">
      <c r="B82" s="40"/>
      <c r="C82" s="41" t="s">
        <v>113</v>
      </c>
      <c r="D82" s="42">
        <f t="shared" ref="D82:F82" si="85">SUM(D83:D84)</f>
        <v>81494</v>
      </c>
      <c r="E82" s="42">
        <f t="shared" si="85"/>
        <v>97305</v>
      </c>
      <c r="F82" s="42">
        <f t="shared" si="85"/>
        <v>88409</v>
      </c>
      <c r="G82" s="42">
        <f>SUM(G83:G84)</f>
        <v>86607</v>
      </c>
      <c r="H82" s="42">
        <f t="shared" ref="H82:R82" si="86">SUM(H83:H84)</f>
        <v>87347</v>
      </c>
      <c r="I82" s="42">
        <f t="shared" si="86"/>
        <v>82605</v>
      </c>
      <c r="J82" s="42">
        <f t="shared" si="86"/>
        <v>86038</v>
      </c>
      <c r="K82" s="42">
        <f t="shared" si="86"/>
        <v>86654</v>
      </c>
      <c r="L82" s="42">
        <f t="shared" si="86"/>
        <v>99557</v>
      </c>
      <c r="M82" s="42">
        <f t="shared" si="86"/>
        <v>90432</v>
      </c>
      <c r="N82" s="42">
        <f t="shared" si="86"/>
        <v>92607</v>
      </c>
      <c r="O82" s="42">
        <f t="shared" si="86"/>
        <v>74006</v>
      </c>
      <c r="P82" s="42">
        <f t="shared" si="86"/>
        <v>98465</v>
      </c>
      <c r="Q82" s="42">
        <f t="shared" si="86"/>
        <v>100654</v>
      </c>
      <c r="R82" s="42">
        <f t="shared" si="86"/>
        <v>96937</v>
      </c>
      <c r="S82" s="42">
        <f t="shared" ref="S82" si="87">SUM(S83:S84)</f>
        <v>95974</v>
      </c>
      <c r="U82" s="42">
        <f t="shared" si="72"/>
        <v>86607</v>
      </c>
      <c r="V82" s="42">
        <f t="shared" si="73"/>
        <v>86654</v>
      </c>
      <c r="W82" s="42">
        <f t="shared" si="74"/>
        <v>74006</v>
      </c>
      <c r="X82" s="42">
        <f t="shared" si="50"/>
        <v>95974</v>
      </c>
      <c r="Y82" s="29"/>
      <c r="Z82" s="29"/>
      <c r="AA82" s="29"/>
      <c r="AB82" s="158"/>
      <c r="AC82" s="158"/>
      <c r="AD82" s="158"/>
      <c r="AE82" s="158"/>
    </row>
    <row r="83" spans="2:31" ht="12" customHeight="1" x14ac:dyDescent="0.2">
      <c r="B83" s="34"/>
      <c r="C83" s="35" t="s">
        <v>104</v>
      </c>
      <c r="D83" s="36">
        <v>43</v>
      </c>
      <c r="E83" s="36">
        <v>278</v>
      </c>
      <c r="F83" s="36">
        <v>655</v>
      </c>
      <c r="G83" s="36">
        <v>278</v>
      </c>
      <c r="H83" s="36">
        <v>430</v>
      </c>
      <c r="I83" s="36">
        <v>918</v>
      </c>
      <c r="J83" s="36">
        <v>920</v>
      </c>
      <c r="K83" s="36">
        <v>1030</v>
      </c>
      <c r="L83" s="36">
        <v>1177</v>
      </c>
      <c r="M83" s="36">
        <v>452</v>
      </c>
      <c r="N83" s="36">
        <v>223</v>
      </c>
      <c r="O83" s="36">
        <v>142</v>
      </c>
      <c r="P83" s="36">
        <v>607</v>
      </c>
      <c r="Q83" s="36">
        <v>568</v>
      </c>
      <c r="R83" s="36">
        <v>497</v>
      </c>
      <c r="S83" s="36">
        <v>611</v>
      </c>
      <c r="U83" s="36">
        <f t="shared" si="72"/>
        <v>278</v>
      </c>
      <c r="V83" s="36">
        <f t="shared" si="73"/>
        <v>1030</v>
      </c>
      <c r="W83" s="36">
        <f t="shared" si="74"/>
        <v>142</v>
      </c>
      <c r="X83" s="36">
        <f t="shared" si="50"/>
        <v>611</v>
      </c>
      <c r="Y83" s="29"/>
      <c r="Z83" s="29"/>
      <c r="AC83" s="173"/>
      <c r="AE83" s="158"/>
    </row>
    <row r="84" spans="2:31" ht="12" customHeight="1" x14ac:dyDescent="0.2">
      <c r="B84" s="34"/>
      <c r="C84" s="35" t="s">
        <v>105</v>
      </c>
      <c r="D84" s="36">
        <v>81451</v>
      </c>
      <c r="E84" s="36">
        <v>97027</v>
      </c>
      <c r="F84" s="36">
        <v>87754</v>
      </c>
      <c r="G84" s="36">
        <v>86329</v>
      </c>
      <c r="H84" s="36">
        <v>86917</v>
      </c>
      <c r="I84" s="36">
        <v>81687</v>
      </c>
      <c r="J84" s="36">
        <v>85118</v>
      </c>
      <c r="K84" s="36">
        <v>85624</v>
      </c>
      <c r="L84" s="36">
        <v>98380</v>
      </c>
      <c r="M84" s="36">
        <v>89980</v>
      </c>
      <c r="N84" s="36">
        <v>92384</v>
      </c>
      <c r="O84" s="36">
        <v>73864</v>
      </c>
      <c r="P84" s="36">
        <v>97858</v>
      </c>
      <c r="Q84" s="36">
        <v>100086</v>
      </c>
      <c r="R84" s="36">
        <v>96440</v>
      </c>
      <c r="S84" s="36">
        <v>95363</v>
      </c>
      <c r="U84" s="36">
        <f t="shared" si="72"/>
        <v>86329</v>
      </c>
      <c r="V84" s="36">
        <f t="shared" si="73"/>
        <v>85624</v>
      </c>
      <c r="W84" s="36">
        <f t="shared" si="74"/>
        <v>73864</v>
      </c>
      <c r="X84" s="36">
        <f t="shared" si="50"/>
        <v>95363</v>
      </c>
      <c r="Y84" s="29"/>
      <c r="Z84" s="29"/>
      <c r="AE84" s="158"/>
    </row>
    <row r="85" spans="2:31" ht="12" customHeight="1" x14ac:dyDescent="0.2">
      <c r="B85" s="34"/>
      <c r="C85" s="35" t="s">
        <v>106</v>
      </c>
      <c r="D85" s="36"/>
      <c r="E85" s="36"/>
      <c r="F85" s="36"/>
      <c r="G85" s="36">
        <v>2049</v>
      </c>
      <c r="H85" s="36">
        <v>4946</v>
      </c>
      <c r="I85" s="36">
        <v>4433</v>
      </c>
      <c r="J85" s="36">
        <v>513</v>
      </c>
      <c r="K85" s="36">
        <v>11773</v>
      </c>
      <c r="L85" s="36">
        <v>11506</v>
      </c>
      <c r="M85" s="36">
        <v>11317</v>
      </c>
      <c r="N85" s="36">
        <v>5599</v>
      </c>
      <c r="O85" s="36">
        <v>977</v>
      </c>
      <c r="P85" s="36">
        <v>977</v>
      </c>
      <c r="Q85" s="36">
        <v>977</v>
      </c>
      <c r="R85" s="36">
        <v>977</v>
      </c>
      <c r="S85" s="36">
        <v>976</v>
      </c>
      <c r="U85" s="36">
        <f t="shared" si="72"/>
        <v>2049</v>
      </c>
      <c r="V85" s="36">
        <f t="shared" si="73"/>
        <v>11773</v>
      </c>
      <c r="W85" s="36">
        <f t="shared" si="74"/>
        <v>977</v>
      </c>
      <c r="X85" s="36">
        <f t="shared" si="50"/>
        <v>976</v>
      </c>
      <c r="Y85" s="29"/>
      <c r="Z85" s="29"/>
      <c r="AE85" s="158"/>
    </row>
    <row r="86" spans="2:31" ht="12" customHeight="1" x14ac:dyDescent="0.2">
      <c r="B86" s="34"/>
      <c r="C86" s="32" t="s">
        <v>114</v>
      </c>
      <c r="D86" s="33">
        <v>1602</v>
      </c>
      <c r="E86" s="33">
        <v>2310</v>
      </c>
      <c r="F86" s="33">
        <v>2366</v>
      </c>
      <c r="G86" s="33">
        <v>2681</v>
      </c>
      <c r="H86" s="33">
        <v>1884</v>
      </c>
      <c r="I86" s="33">
        <v>1875</v>
      </c>
      <c r="J86" s="33">
        <v>2731</v>
      </c>
      <c r="K86" s="33">
        <v>3747</v>
      </c>
      <c r="L86" s="33">
        <v>4363</v>
      </c>
      <c r="M86" s="33">
        <v>6223</v>
      </c>
      <c r="N86" s="33">
        <v>5298</v>
      </c>
      <c r="O86" s="33">
        <v>5392</v>
      </c>
      <c r="P86" s="33">
        <v>10055</v>
      </c>
      <c r="Q86" s="33">
        <v>13312</v>
      </c>
      <c r="R86" s="33">
        <v>12843</v>
      </c>
      <c r="S86" s="33">
        <v>12589</v>
      </c>
      <c r="U86" s="33">
        <f t="shared" si="72"/>
        <v>2681</v>
      </c>
      <c r="V86" s="33">
        <f t="shared" si="73"/>
        <v>3747</v>
      </c>
      <c r="W86" s="33">
        <f t="shared" si="74"/>
        <v>5392</v>
      </c>
      <c r="X86" s="33">
        <f t="shared" si="50"/>
        <v>12589</v>
      </c>
      <c r="Y86" s="29"/>
      <c r="Z86" s="29"/>
      <c r="AE86" s="158"/>
    </row>
    <row r="87" spans="2:31" ht="12" customHeight="1" x14ac:dyDescent="0.2">
      <c r="B87" s="31"/>
      <c r="C87" s="32" t="s">
        <v>115</v>
      </c>
      <c r="D87" s="33">
        <v>13238</v>
      </c>
      <c r="E87" s="33">
        <v>15253</v>
      </c>
      <c r="F87" s="33">
        <v>15506</v>
      </c>
      <c r="G87" s="33">
        <v>16079</v>
      </c>
      <c r="H87" s="33">
        <v>15960</v>
      </c>
      <c r="I87" s="33">
        <v>16392</v>
      </c>
      <c r="J87" s="33">
        <v>16209</v>
      </c>
      <c r="K87" s="33">
        <v>16924</v>
      </c>
      <c r="L87" s="33">
        <v>13409</v>
      </c>
      <c r="M87" s="33">
        <v>20744</v>
      </c>
      <c r="N87" s="33">
        <v>17146</v>
      </c>
      <c r="O87" s="33">
        <v>15910</v>
      </c>
      <c r="P87" s="33">
        <v>14175</v>
      </c>
      <c r="Q87" s="33">
        <v>15195</v>
      </c>
      <c r="R87" s="33">
        <v>14337</v>
      </c>
      <c r="S87" s="33">
        <v>14646</v>
      </c>
      <c r="U87" s="33">
        <f t="shared" si="72"/>
        <v>16079</v>
      </c>
      <c r="V87" s="33">
        <f t="shared" si="73"/>
        <v>16924</v>
      </c>
      <c r="W87" s="33">
        <f t="shared" si="74"/>
        <v>15910</v>
      </c>
      <c r="X87" s="33">
        <f t="shared" si="50"/>
        <v>14646</v>
      </c>
      <c r="Y87" s="29"/>
      <c r="Z87" s="29"/>
      <c r="AE87" s="158"/>
    </row>
    <row r="88" spans="2:31" s="38" customFormat="1" ht="12" customHeight="1" x14ac:dyDescent="0.2">
      <c r="B88" s="40"/>
      <c r="C88" s="41" t="s">
        <v>116</v>
      </c>
      <c r="D88" s="42">
        <f t="shared" ref="D88:F88" si="88">D89+D90</f>
        <v>41173</v>
      </c>
      <c r="E88" s="42">
        <f t="shared" si="88"/>
        <v>38762</v>
      </c>
      <c r="F88" s="42">
        <f t="shared" si="88"/>
        <v>34903</v>
      </c>
      <c r="G88" s="42">
        <f>G89+G90</f>
        <v>32476</v>
      </c>
      <c r="H88" s="42">
        <f t="shared" ref="H88:R88" si="89">H89+H90</f>
        <v>28907</v>
      </c>
      <c r="I88" s="42">
        <f t="shared" si="89"/>
        <v>28157</v>
      </c>
      <c r="J88" s="42">
        <f t="shared" si="89"/>
        <v>27300</v>
      </c>
      <c r="K88" s="42">
        <f t="shared" si="89"/>
        <v>37619</v>
      </c>
      <c r="L88" s="42">
        <f t="shared" si="89"/>
        <v>44282.004999999939</v>
      </c>
      <c r="M88" s="42">
        <f t="shared" si="89"/>
        <v>36221</v>
      </c>
      <c r="N88" s="42">
        <f t="shared" si="89"/>
        <v>40782</v>
      </c>
      <c r="O88" s="42">
        <f t="shared" si="89"/>
        <v>46123</v>
      </c>
      <c r="P88" s="42">
        <f t="shared" si="89"/>
        <v>42751</v>
      </c>
      <c r="Q88" s="42">
        <f t="shared" si="89"/>
        <v>53399</v>
      </c>
      <c r="R88" s="42">
        <f t="shared" si="89"/>
        <v>39752</v>
      </c>
      <c r="S88" s="42">
        <f t="shared" ref="S88" si="90">S89+S90</f>
        <v>38519</v>
      </c>
      <c r="U88" s="42">
        <f t="shared" si="72"/>
        <v>32476</v>
      </c>
      <c r="V88" s="42">
        <f t="shared" si="73"/>
        <v>37619</v>
      </c>
      <c r="W88" s="42">
        <f t="shared" si="74"/>
        <v>46123</v>
      </c>
      <c r="X88" s="42">
        <f t="shared" si="50"/>
        <v>38519</v>
      </c>
      <c r="Y88" s="29"/>
      <c r="Z88" s="29"/>
      <c r="AA88" s="29"/>
      <c r="AB88" s="158"/>
      <c r="AC88" s="158"/>
      <c r="AD88" s="158"/>
      <c r="AE88" s="158"/>
    </row>
    <row r="89" spans="2:31" ht="12" customHeight="1" x14ac:dyDescent="0.2">
      <c r="B89" s="34"/>
      <c r="C89" s="35" t="s">
        <v>104</v>
      </c>
      <c r="D89" s="36">
        <v>0</v>
      </c>
      <c r="E89" s="36">
        <v>0</v>
      </c>
      <c r="F89" s="36">
        <v>0</v>
      </c>
      <c r="G89" s="36">
        <v>0</v>
      </c>
      <c r="H89" s="36">
        <v>0</v>
      </c>
      <c r="I89" s="36">
        <v>0</v>
      </c>
      <c r="J89" s="36">
        <v>0</v>
      </c>
      <c r="K89" s="36">
        <v>0</v>
      </c>
      <c r="L89" s="36">
        <v>4.9999999391729943E-3</v>
      </c>
      <c r="M89" s="36">
        <v>0</v>
      </c>
      <c r="N89" s="36">
        <v>0</v>
      </c>
      <c r="O89" s="36">
        <v>0</v>
      </c>
      <c r="P89" s="36">
        <v>0</v>
      </c>
      <c r="Q89" s="36">
        <v>0</v>
      </c>
      <c r="R89" s="36">
        <v>0</v>
      </c>
      <c r="S89" s="36">
        <v>0</v>
      </c>
      <c r="U89" s="36">
        <f t="shared" si="72"/>
        <v>0</v>
      </c>
      <c r="V89" s="36">
        <f t="shared" si="73"/>
        <v>0</v>
      </c>
      <c r="W89" s="36">
        <f t="shared" si="74"/>
        <v>0</v>
      </c>
      <c r="X89" s="36">
        <f t="shared" si="50"/>
        <v>0</v>
      </c>
      <c r="Y89" s="29"/>
      <c r="Z89" s="29"/>
      <c r="AC89" s="173"/>
      <c r="AE89" s="158"/>
    </row>
    <row r="90" spans="2:31" ht="12" customHeight="1" x14ac:dyDescent="0.2">
      <c r="B90" s="34"/>
      <c r="C90" s="35" t="s">
        <v>105</v>
      </c>
      <c r="D90" s="36">
        <v>41173</v>
      </c>
      <c r="E90" s="36">
        <v>38762</v>
      </c>
      <c r="F90" s="36">
        <v>34903</v>
      </c>
      <c r="G90" s="36">
        <v>32476</v>
      </c>
      <c r="H90" s="36">
        <v>28907</v>
      </c>
      <c r="I90" s="36">
        <v>28157</v>
      </c>
      <c r="J90" s="36">
        <v>27300</v>
      </c>
      <c r="K90" s="36">
        <v>37619</v>
      </c>
      <c r="L90" s="36">
        <v>44282</v>
      </c>
      <c r="M90" s="36">
        <v>36221</v>
      </c>
      <c r="N90" s="36">
        <v>40782</v>
      </c>
      <c r="O90" s="36">
        <v>46123</v>
      </c>
      <c r="P90" s="36">
        <v>42751</v>
      </c>
      <c r="Q90" s="36">
        <v>53399</v>
      </c>
      <c r="R90" s="36">
        <v>39752</v>
      </c>
      <c r="S90" s="36">
        <v>38519</v>
      </c>
      <c r="U90" s="36">
        <f t="shared" si="72"/>
        <v>32476</v>
      </c>
      <c r="V90" s="36">
        <f t="shared" si="73"/>
        <v>37619</v>
      </c>
      <c r="W90" s="36">
        <f t="shared" si="74"/>
        <v>46123</v>
      </c>
      <c r="X90" s="36">
        <f t="shared" si="50"/>
        <v>38519</v>
      </c>
      <c r="Y90" s="29"/>
      <c r="Z90" s="29"/>
      <c r="AE90" s="158"/>
    </row>
    <row r="91" spans="2:31" ht="12" customHeight="1" x14ac:dyDescent="0.2">
      <c r="B91" s="34"/>
      <c r="C91" s="35" t="s">
        <v>117</v>
      </c>
      <c r="D91" s="36"/>
      <c r="E91" s="36"/>
      <c r="F91" s="36"/>
      <c r="G91" s="36">
        <v>3959</v>
      </c>
      <c r="H91" s="36">
        <v>5241</v>
      </c>
      <c r="I91" s="36">
        <v>8005</v>
      </c>
      <c r="J91" s="36">
        <v>8184</v>
      </c>
      <c r="K91" s="36">
        <v>8836</v>
      </c>
      <c r="L91" s="36">
        <v>8860</v>
      </c>
      <c r="M91" s="36">
        <v>9797</v>
      </c>
      <c r="N91" s="36">
        <v>9442</v>
      </c>
      <c r="O91" s="36">
        <v>10133</v>
      </c>
      <c r="P91" s="36">
        <v>10031</v>
      </c>
      <c r="Q91" s="36">
        <v>9652</v>
      </c>
      <c r="R91" s="36">
        <v>9113</v>
      </c>
      <c r="S91" s="36">
        <v>8974</v>
      </c>
      <c r="U91" s="36">
        <f t="shared" si="72"/>
        <v>3959</v>
      </c>
      <c r="V91" s="36">
        <f t="shared" si="73"/>
        <v>8836</v>
      </c>
      <c r="W91" s="36">
        <f t="shared" si="74"/>
        <v>10133</v>
      </c>
      <c r="X91" s="36">
        <f t="shared" si="50"/>
        <v>8974</v>
      </c>
      <c r="Y91" s="29"/>
      <c r="Z91" s="29"/>
      <c r="AE91" s="158"/>
    </row>
    <row r="92" spans="2:31" ht="12" customHeight="1" x14ac:dyDescent="0.2">
      <c r="B92" s="31"/>
      <c r="C92" s="32" t="s">
        <v>118</v>
      </c>
      <c r="D92" s="33">
        <v>16202</v>
      </c>
      <c r="E92" s="33">
        <v>15419</v>
      </c>
      <c r="F92" s="33">
        <v>15840</v>
      </c>
      <c r="G92" s="33">
        <v>16466</v>
      </c>
      <c r="H92" s="33">
        <v>15990</v>
      </c>
      <c r="I92" s="33">
        <v>16105</v>
      </c>
      <c r="J92" s="33">
        <v>16217</v>
      </c>
      <c r="K92" s="33">
        <v>13743</v>
      </c>
      <c r="L92" s="33">
        <v>15597</v>
      </c>
      <c r="M92" s="33">
        <v>15558</v>
      </c>
      <c r="N92" s="33">
        <v>15234</v>
      </c>
      <c r="O92" s="33">
        <v>17195</v>
      </c>
      <c r="P92" s="33">
        <v>21138</v>
      </c>
      <c r="Q92" s="33">
        <v>20397</v>
      </c>
      <c r="R92" s="33">
        <v>18299</v>
      </c>
      <c r="S92" s="33">
        <v>17608</v>
      </c>
      <c r="U92" s="33">
        <f t="shared" si="72"/>
        <v>16466</v>
      </c>
      <c r="V92" s="33">
        <f t="shared" si="73"/>
        <v>13743</v>
      </c>
      <c r="W92" s="33">
        <f t="shared" si="74"/>
        <v>17195</v>
      </c>
      <c r="X92" s="33">
        <f t="shared" si="50"/>
        <v>17608</v>
      </c>
      <c r="Y92" s="29"/>
      <c r="Z92" s="29"/>
      <c r="AE92" s="158"/>
    </row>
    <row r="93" spans="2:31" ht="12" customHeight="1" x14ac:dyDescent="0.2">
      <c r="B93" s="31"/>
      <c r="C93" s="32" t="s">
        <v>119</v>
      </c>
      <c r="D93" s="33">
        <v>22211</v>
      </c>
      <c r="E93" s="33">
        <v>10948</v>
      </c>
      <c r="F93" s="33">
        <v>7990</v>
      </c>
      <c r="G93" s="33">
        <v>7834</v>
      </c>
      <c r="H93" s="33">
        <v>8324</v>
      </c>
      <c r="I93" s="33">
        <v>9154</v>
      </c>
      <c r="J93" s="33">
        <v>12942</v>
      </c>
      <c r="K93" s="33">
        <v>18650</v>
      </c>
      <c r="L93" s="33">
        <v>18276</v>
      </c>
      <c r="M93" s="33">
        <v>18275</v>
      </c>
      <c r="N93" s="33">
        <v>20530</v>
      </c>
      <c r="O93" s="33">
        <v>15965</v>
      </c>
      <c r="P93" s="33">
        <v>15356</v>
      </c>
      <c r="Q93" s="33">
        <v>14150</v>
      </c>
      <c r="R93" s="33">
        <v>11984</v>
      </c>
      <c r="S93" s="33">
        <v>11727</v>
      </c>
      <c r="U93" s="33">
        <f t="shared" si="72"/>
        <v>7834</v>
      </c>
      <c r="V93" s="33">
        <f t="shared" si="73"/>
        <v>18650</v>
      </c>
      <c r="W93" s="33">
        <f t="shared" si="74"/>
        <v>15965</v>
      </c>
      <c r="X93" s="33">
        <f t="shared" si="50"/>
        <v>11727</v>
      </c>
      <c r="Y93" s="29"/>
      <c r="Z93" s="29"/>
      <c r="AE93" s="158"/>
    </row>
    <row r="94" spans="2:31" ht="12" customHeight="1" x14ac:dyDescent="0.2">
      <c r="B94" s="31"/>
      <c r="C94" s="32" t="s">
        <v>120</v>
      </c>
      <c r="D94" s="37">
        <v>0</v>
      </c>
      <c r="E94" s="37">
        <v>0</v>
      </c>
      <c r="F94" s="37">
        <v>0</v>
      </c>
      <c r="G94" s="37">
        <v>0</v>
      </c>
      <c r="H94" s="37">
        <v>0</v>
      </c>
      <c r="I94" s="37">
        <v>0</v>
      </c>
      <c r="J94" s="37">
        <v>0</v>
      </c>
      <c r="K94" s="37">
        <v>143</v>
      </c>
      <c r="L94" s="37">
        <v>143</v>
      </c>
      <c r="M94" s="37">
        <v>143</v>
      </c>
      <c r="N94" s="37">
        <v>0</v>
      </c>
      <c r="O94" s="37">
        <v>0</v>
      </c>
      <c r="P94" s="37">
        <v>0</v>
      </c>
      <c r="Q94" s="37">
        <v>0</v>
      </c>
      <c r="R94" s="37">
        <v>0</v>
      </c>
      <c r="S94" s="37">
        <v>23</v>
      </c>
      <c r="U94" s="37">
        <f t="shared" si="72"/>
        <v>0</v>
      </c>
      <c r="V94" s="37">
        <f t="shared" si="73"/>
        <v>143</v>
      </c>
      <c r="W94" s="37">
        <f t="shared" si="74"/>
        <v>0</v>
      </c>
      <c r="X94" s="37">
        <f t="shared" si="50"/>
        <v>23</v>
      </c>
      <c r="Y94" s="29"/>
      <c r="Z94" s="29"/>
      <c r="AE94" s="158"/>
    </row>
    <row r="95" spans="2:31" ht="12" customHeight="1" x14ac:dyDescent="0.2">
      <c r="B95" s="202" t="s">
        <v>121</v>
      </c>
      <c r="C95" s="202"/>
      <c r="D95" s="39">
        <f t="shared" ref="D95:F95" si="91">SUM(D51,D65)</f>
        <v>828524</v>
      </c>
      <c r="E95" s="39">
        <f t="shared" si="91"/>
        <v>842284</v>
      </c>
      <c r="F95" s="39">
        <f t="shared" si="91"/>
        <v>837730</v>
      </c>
      <c r="G95" s="39">
        <f>SUM(G51,G65)</f>
        <v>839190</v>
      </c>
      <c r="H95" s="39">
        <f t="shared" ref="H95:R95" si="92">SUM(H51,H65)</f>
        <v>871987</v>
      </c>
      <c r="I95" s="39">
        <f t="shared" si="92"/>
        <v>860208</v>
      </c>
      <c r="J95" s="39">
        <f t="shared" si="92"/>
        <v>870728</v>
      </c>
      <c r="K95" s="39">
        <f t="shared" si="92"/>
        <v>887836</v>
      </c>
      <c r="L95" s="39">
        <f t="shared" si="92"/>
        <v>903974.00499999989</v>
      </c>
      <c r="M95" s="39">
        <f t="shared" si="92"/>
        <v>913866</v>
      </c>
      <c r="N95" s="39">
        <f t="shared" si="92"/>
        <v>917301</v>
      </c>
      <c r="O95" s="39">
        <f t="shared" si="92"/>
        <v>874949</v>
      </c>
      <c r="P95" s="39">
        <f t="shared" si="92"/>
        <v>952018</v>
      </c>
      <c r="Q95" s="39">
        <f t="shared" si="92"/>
        <v>964698</v>
      </c>
      <c r="R95" s="39">
        <f t="shared" si="92"/>
        <v>992103</v>
      </c>
      <c r="S95" s="39">
        <f t="shared" ref="S95" si="93">SUM(S51,S65)</f>
        <v>999260</v>
      </c>
      <c r="U95" s="39">
        <f t="shared" ref="U95" si="94">G95</f>
        <v>839190</v>
      </c>
      <c r="V95" s="39">
        <f t="shared" ref="V95" si="95">K95</f>
        <v>887836</v>
      </c>
      <c r="W95" s="39">
        <f t="shared" si="74"/>
        <v>874949</v>
      </c>
      <c r="X95" s="39">
        <f t="shared" si="50"/>
        <v>999260</v>
      </c>
      <c r="AE95" s="158"/>
    </row>
    <row r="96" spans="2:31" ht="12" customHeight="1" x14ac:dyDescent="0.2">
      <c r="Y96" s="29"/>
      <c r="Z96" s="29"/>
    </row>
    <row r="97" spans="28:29" s="29" customFormat="1" ht="12" customHeight="1" x14ac:dyDescent="0.2">
      <c r="AB97" s="158"/>
      <c r="AC97" s="158"/>
    </row>
  </sheetData>
  <mergeCells count="33">
    <mergeCell ref="M8:M9"/>
    <mergeCell ref="U7:X7"/>
    <mergeCell ref="X8:X9"/>
    <mergeCell ref="W8:W9"/>
    <mergeCell ref="K8:K9"/>
    <mergeCell ref="N8:N9"/>
    <mergeCell ref="V8:V9"/>
    <mergeCell ref="U8:U9"/>
    <mergeCell ref="O8:O9"/>
    <mergeCell ref="P8:P9"/>
    <mergeCell ref="Q8:Q9"/>
    <mergeCell ref="R8:R9"/>
    <mergeCell ref="D7:S7"/>
    <mergeCell ref="S8:S9"/>
    <mergeCell ref="I8:I9"/>
    <mergeCell ref="G8:G9"/>
    <mergeCell ref="J8:J9"/>
    <mergeCell ref="L8:L9"/>
    <mergeCell ref="H8:H9"/>
    <mergeCell ref="B7:C9"/>
    <mergeCell ref="B95:C95"/>
    <mergeCell ref="D8:D9"/>
    <mergeCell ref="E8:E9"/>
    <mergeCell ref="F8:F9"/>
    <mergeCell ref="B65:C65"/>
    <mergeCell ref="B66:C66"/>
    <mergeCell ref="B29:C29"/>
    <mergeCell ref="B50:C50"/>
    <mergeCell ref="B51:C51"/>
    <mergeCell ref="B52:C52"/>
    <mergeCell ref="B64:C64"/>
    <mergeCell ref="B10:C10"/>
    <mergeCell ref="B78:C78"/>
  </mergeCells>
  <pageMargins left="0.78740157480314965" right="0.78740157480314965" top="0.78740157480314965" bottom="1.1811023622047245" header="0.51181102362204722" footer="0.98425196850393704"/>
  <pageSetup paperSize="9" scale="34" orientation="portrait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F0CB7-9B76-4795-8A4E-82A4C00E22FA}">
  <sheetPr>
    <tabColor theme="0" tint="-0.34998626667073579"/>
    <pageSetUpPr fitToPage="1"/>
  </sheetPr>
  <dimension ref="B1:AP87"/>
  <sheetViews>
    <sheetView showGridLines="0" zoomScaleNormal="100" zoomScaleSheetLayoutView="100" workbookViewId="0">
      <pane xSplit="3" ySplit="9" topLeftCell="D10" activePane="bottomRight" state="frozen"/>
      <selection activeCell="Q2" sqref="Q2"/>
      <selection pane="topRight" activeCell="Q2" sqref="Q2"/>
      <selection pane="bottomLeft" activeCell="Q2" sqref="Q2"/>
      <selection pane="bottomRight" activeCell="X24" sqref="X24"/>
    </sheetView>
  </sheetViews>
  <sheetFormatPr defaultColWidth="9.140625" defaultRowHeight="12" customHeight="1" x14ac:dyDescent="0.2"/>
  <cols>
    <col min="1" max="1" width="1.140625" style="46" customWidth="1"/>
    <col min="2" max="2" width="2.5703125" style="45" customWidth="1"/>
    <col min="3" max="3" width="63.7109375" style="45" customWidth="1"/>
    <col min="4" max="19" width="9.28515625" style="46" customWidth="1"/>
    <col min="20" max="20" width="9.28515625" style="47" customWidth="1"/>
    <col min="21" max="36" width="9.28515625" style="46" customWidth="1"/>
    <col min="37" max="37" width="9.140625" style="46"/>
    <col min="38" max="38" width="56.140625" style="46" customWidth="1"/>
    <col min="39" max="16384" width="9.140625" style="46"/>
  </cols>
  <sheetData>
    <row r="1" spans="2:42" s="1" customFormat="1" ht="12" hidden="1" customHeight="1" x14ac:dyDescent="0.2">
      <c r="C1" s="2"/>
    </row>
    <row r="2" spans="2:42" s="1" customFormat="1" ht="12" hidden="1" customHeight="1" x14ac:dyDescent="0.2">
      <c r="C2" s="2"/>
    </row>
    <row r="3" spans="2:42" s="1" customFormat="1" ht="12" hidden="1" customHeight="1" x14ac:dyDescent="0.2">
      <c r="C3" s="2"/>
    </row>
    <row r="4" spans="2:42" s="1" customFormat="1" ht="12" hidden="1" customHeight="1" x14ac:dyDescent="0.2">
      <c r="C4" s="2"/>
    </row>
    <row r="5" spans="2:42" s="1" customFormat="1" ht="12" customHeight="1" x14ac:dyDescent="0.2">
      <c r="C5" s="2"/>
    </row>
    <row r="6" spans="2:42" s="104" customFormat="1" ht="12" customHeight="1" x14ac:dyDescent="0.2">
      <c r="B6" s="220" t="s">
        <v>126</v>
      </c>
      <c r="C6" s="221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  <c r="AH6" s="103"/>
      <c r="AI6" s="103"/>
    </row>
    <row r="7" spans="2:42" s="104" customFormat="1" ht="12" customHeight="1" x14ac:dyDescent="0.2">
      <c r="B7" s="123"/>
      <c r="C7" s="124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  <c r="AH7" s="103"/>
      <c r="AI7" s="103"/>
    </row>
    <row r="8" spans="2:42" s="162" customFormat="1" ht="12" customHeight="1" x14ac:dyDescent="0.2">
      <c r="B8" s="176" t="s">
        <v>59</v>
      </c>
      <c r="C8" s="196"/>
      <c r="D8" s="229" t="s">
        <v>122</v>
      </c>
      <c r="E8" s="219"/>
      <c r="F8" s="219"/>
      <c r="G8" s="219"/>
      <c r="H8" s="219"/>
      <c r="I8" s="219"/>
      <c r="J8" s="219"/>
      <c r="K8" s="219"/>
      <c r="L8" s="219"/>
      <c r="M8" s="219"/>
      <c r="N8" s="219"/>
      <c r="O8" s="219"/>
      <c r="P8" s="219"/>
      <c r="Q8" s="219"/>
      <c r="R8" s="219"/>
      <c r="S8" s="219"/>
      <c r="T8" s="104"/>
      <c r="U8" s="230" t="s">
        <v>122</v>
      </c>
      <c r="V8" s="219"/>
      <c r="W8" s="219"/>
      <c r="X8" s="219"/>
      <c r="Y8" s="219"/>
      <c r="Z8" s="219"/>
      <c r="AA8" s="219"/>
      <c r="AB8" s="219"/>
      <c r="AC8" s="219"/>
      <c r="AD8" s="219"/>
      <c r="AE8" s="219"/>
      <c r="AF8" s="219"/>
      <c r="AG8" s="219"/>
      <c r="AH8" s="231"/>
      <c r="AI8" s="231"/>
      <c r="AJ8" s="231"/>
    </row>
    <row r="9" spans="2:42" s="162" customFormat="1" ht="12" customHeight="1" x14ac:dyDescent="0.2">
      <c r="B9" s="197"/>
      <c r="C9" s="224"/>
      <c r="D9" s="147" t="s">
        <v>235</v>
      </c>
      <c r="E9" s="147" t="s">
        <v>247</v>
      </c>
      <c r="F9" s="147" t="s">
        <v>248</v>
      </c>
      <c r="G9" s="147" t="s">
        <v>249</v>
      </c>
      <c r="H9" s="147" t="s">
        <v>239</v>
      </c>
      <c r="I9" s="147" t="s">
        <v>250</v>
      </c>
      <c r="J9" s="147" t="s">
        <v>251</v>
      </c>
      <c r="K9" s="147" t="s">
        <v>252</v>
      </c>
      <c r="L9" s="147" t="s">
        <v>243</v>
      </c>
      <c r="M9" s="147" t="s">
        <v>253</v>
      </c>
      <c r="N9" s="147" t="s">
        <v>254</v>
      </c>
      <c r="O9" s="147" t="s">
        <v>255</v>
      </c>
      <c r="P9" s="147" t="s">
        <v>299</v>
      </c>
      <c r="Q9" s="147" t="s">
        <v>303</v>
      </c>
      <c r="R9" s="147" t="s">
        <v>309</v>
      </c>
      <c r="S9" s="147" t="s">
        <v>312</v>
      </c>
      <c r="T9" s="104"/>
      <c r="U9" s="147" t="s">
        <v>235</v>
      </c>
      <c r="V9" s="147" t="s">
        <v>236</v>
      </c>
      <c r="W9" s="147" t="s">
        <v>237</v>
      </c>
      <c r="X9" s="147" t="s">
        <v>238</v>
      </c>
      <c r="Y9" s="147" t="s">
        <v>239</v>
      </c>
      <c r="Z9" s="147" t="s">
        <v>240</v>
      </c>
      <c r="AA9" s="147" t="s">
        <v>241</v>
      </c>
      <c r="AB9" s="147" t="s">
        <v>242</v>
      </c>
      <c r="AC9" s="147" t="s">
        <v>243</v>
      </c>
      <c r="AD9" s="147" t="s">
        <v>244</v>
      </c>
      <c r="AE9" s="147" t="s">
        <v>245</v>
      </c>
      <c r="AF9" s="147" t="s">
        <v>246</v>
      </c>
      <c r="AG9" s="147" t="s">
        <v>299</v>
      </c>
      <c r="AH9" s="147" t="s">
        <v>301</v>
      </c>
      <c r="AI9" s="147" t="s">
        <v>305</v>
      </c>
      <c r="AJ9" s="147" t="s">
        <v>310</v>
      </c>
    </row>
    <row r="10" spans="2:42" ht="12" customHeight="1" x14ac:dyDescent="0.2">
      <c r="B10" s="61" t="s">
        <v>127</v>
      </c>
      <c r="C10" s="62"/>
      <c r="D10" s="62"/>
      <c r="E10" s="62"/>
      <c r="F10" s="62"/>
      <c r="G10" s="62"/>
      <c r="H10" s="62"/>
      <c r="I10" s="63"/>
      <c r="J10" s="63"/>
      <c r="K10" s="62"/>
      <c r="L10" s="62"/>
      <c r="M10" s="62"/>
      <c r="N10" s="62"/>
      <c r="O10" s="62"/>
      <c r="P10" s="62"/>
      <c r="Q10" s="62"/>
      <c r="R10" s="62"/>
      <c r="S10" s="62"/>
      <c r="U10" s="62"/>
      <c r="V10" s="62"/>
      <c r="W10" s="62"/>
      <c r="X10" s="62"/>
      <c r="Y10" s="62"/>
      <c r="Z10" s="63"/>
      <c r="AA10" s="63"/>
      <c r="AB10" s="62"/>
      <c r="AC10" s="62"/>
      <c r="AD10" s="62"/>
      <c r="AE10" s="62"/>
      <c r="AF10" s="62"/>
      <c r="AG10" s="62"/>
      <c r="AH10" s="62"/>
      <c r="AI10" s="62"/>
      <c r="AJ10" s="62"/>
    </row>
    <row r="11" spans="2:42" ht="12" customHeight="1" x14ac:dyDescent="0.2">
      <c r="B11" s="225" t="s">
        <v>128</v>
      </c>
      <c r="C11" s="226"/>
      <c r="D11" s="49">
        <v>20205</v>
      </c>
      <c r="E11" s="49">
        <v>46929</v>
      </c>
      <c r="F11" s="49">
        <v>70096</v>
      </c>
      <c r="G11" s="49">
        <v>93178</v>
      </c>
      <c r="H11" s="49">
        <v>21827</v>
      </c>
      <c r="I11" s="49">
        <v>41169</v>
      </c>
      <c r="J11" s="49">
        <v>59790</v>
      </c>
      <c r="K11" s="49">
        <v>73884</v>
      </c>
      <c r="L11" s="49">
        <v>24175</v>
      </c>
      <c r="M11" s="49">
        <v>43848</v>
      </c>
      <c r="N11" s="49">
        <v>64633</v>
      </c>
      <c r="O11" s="49">
        <v>81917</v>
      </c>
      <c r="P11" s="49">
        <v>54031</v>
      </c>
      <c r="Q11" s="49">
        <v>67167</v>
      </c>
      <c r="R11" s="49">
        <v>83669</v>
      </c>
      <c r="S11" s="49">
        <v>85244</v>
      </c>
      <c r="U11" s="49">
        <v>20205</v>
      </c>
      <c r="V11" s="49">
        <f>E11-D11</f>
        <v>26724</v>
      </c>
      <c r="W11" s="49">
        <f>F11-E11</f>
        <v>23167</v>
      </c>
      <c r="X11" s="49">
        <f>G11-F11</f>
        <v>23082</v>
      </c>
      <c r="Y11" s="49">
        <v>21827</v>
      </c>
      <c r="Z11" s="49">
        <f>I11-H11</f>
        <v>19342</v>
      </c>
      <c r="AA11" s="49">
        <f>J11-I11</f>
        <v>18621</v>
      </c>
      <c r="AB11" s="49">
        <f>K11-J11</f>
        <v>14094</v>
      </c>
      <c r="AC11" s="49">
        <v>24175</v>
      </c>
      <c r="AD11" s="49">
        <f>M11-L11</f>
        <v>19673</v>
      </c>
      <c r="AE11" s="49">
        <f>N11-M11</f>
        <v>20785</v>
      </c>
      <c r="AF11" s="49">
        <f>O11-N11</f>
        <v>17284</v>
      </c>
      <c r="AG11" s="49">
        <v>54031</v>
      </c>
      <c r="AH11" s="49">
        <f>Q11-P11</f>
        <v>13136</v>
      </c>
      <c r="AI11" s="49">
        <f>R11-Q11</f>
        <v>16502</v>
      </c>
      <c r="AJ11" s="49">
        <f>S11-R11</f>
        <v>1575</v>
      </c>
    </row>
    <row r="12" spans="2:42" s="50" customFormat="1" ht="12" customHeight="1" x14ac:dyDescent="0.2">
      <c r="B12" s="223" t="s">
        <v>129</v>
      </c>
      <c r="C12" s="227"/>
      <c r="D12" s="68">
        <f t="shared" ref="D12:I12" si="0">SUM(D13:D29)</f>
        <v>11008</v>
      </c>
      <c r="E12" s="68">
        <f t="shared" si="0"/>
        <v>23279</v>
      </c>
      <c r="F12" s="68">
        <f t="shared" si="0"/>
        <v>33840</v>
      </c>
      <c r="G12" s="68">
        <f t="shared" si="0"/>
        <v>44389</v>
      </c>
      <c r="H12" s="68">
        <f t="shared" si="0"/>
        <v>12023</v>
      </c>
      <c r="I12" s="68">
        <f t="shared" si="0"/>
        <v>25056</v>
      </c>
      <c r="J12" s="68">
        <f>SUM(J13:J29)</f>
        <v>37267</v>
      </c>
      <c r="K12" s="68">
        <f t="shared" ref="K12:P12" si="1">SUM(K13:K29)</f>
        <v>44883</v>
      </c>
      <c r="L12" s="68">
        <f t="shared" si="1"/>
        <v>11397</v>
      </c>
      <c r="M12" s="68">
        <f t="shared" si="1"/>
        <v>26621</v>
      </c>
      <c r="N12" s="68">
        <f t="shared" si="1"/>
        <v>37072</v>
      </c>
      <c r="O12" s="68">
        <f t="shared" si="1"/>
        <v>51209</v>
      </c>
      <c r="P12" s="68">
        <f t="shared" si="1"/>
        <v>-23275</v>
      </c>
      <c r="Q12" s="68">
        <f>SUM(Q13:Q29)</f>
        <v>-3266</v>
      </c>
      <c r="R12" s="68">
        <f>SUM(R13:R29)</f>
        <v>11864</v>
      </c>
      <c r="S12" s="68">
        <f>SUM(S13:S29)</f>
        <v>29437</v>
      </c>
      <c r="T12" s="47"/>
      <c r="U12" s="68">
        <f t="shared" ref="U12:Z12" si="2">SUM(U13:U29)</f>
        <v>11008</v>
      </c>
      <c r="V12" s="68">
        <f t="shared" si="2"/>
        <v>12271</v>
      </c>
      <c r="W12" s="68">
        <f t="shared" si="2"/>
        <v>10561</v>
      </c>
      <c r="X12" s="68">
        <f t="shared" si="2"/>
        <v>10549</v>
      </c>
      <c r="Y12" s="68">
        <f t="shared" si="2"/>
        <v>12023</v>
      </c>
      <c r="Z12" s="68">
        <f t="shared" si="2"/>
        <v>13033</v>
      </c>
      <c r="AA12" s="68">
        <f>SUM(AA13:AA29)</f>
        <v>12211</v>
      </c>
      <c r="AB12" s="68">
        <f t="shared" ref="AB12:AG12" si="3">SUM(AB13:AB29)</f>
        <v>7616</v>
      </c>
      <c r="AC12" s="68">
        <f t="shared" si="3"/>
        <v>11397</v>
      </c>
      <c r="AD12" s="68">
        <f t="shared" si="3"/>
        <v>15224</v>
      </c>
      <c r="AE12" s="68">
        <f t="shared" si="3"/>
        <v>10451</v>
      </c>
      <c r="AF12" s="68">
        <f t="shared" si="3"/>
        <v>14137</v>
      </c>
      <c r="AG12" s="68">
        <f t="shared" si="3"/>
        <v>-23275</v>
      </c>
      <c r="AH12" s="68">
        <f t="shared" ref="AH12:AI12" si="4">SUM(AH13:AH29)</f>
        <v>20009</v>
      </c>
      <c r="AI12" s="68">
        <f t="shared" si="4"/>
        <v>15130</v>
      </c>
      <c r="AJ12" s="68">
        <f t="shared" ref="AJ12" si="5">SUM(AJ13:AJ29)</f>
        <v>17573</v>
      </c>
      <c r="AK12" s="46"/>
      <c r="AL12" s="46"/>
      <c r="AM12" s="46"/>
      <c r="AN12" s="46"/>
      <c r="AO12" s="46"/>
      <c r="AP12" s="46"/>
    </row>
    <row r="13" spans="2:42" ht="12" customHeight="1" x14ac:dyDescent="0.2">
      <c r="B13" s="51"/>
      <c r="C13" s="67" t="s">
        <v>130</v>
      </c>
      <c r="D13" s="52">
        <v>2696</v>
      </c>
      <c r="E13" s="52">
        <v>5515</v>
      </c>
      <c r="F13" s="52">
        <v>8525</v>
      </c>
      <c r="G13" s="52">
        <v>11811</v>
      </c>
      <c r="H13" s="52">
        <v>3701</v>
      </c>
      <c r="I13" s="52">
        <v>7486</v>
      </c>
      <c r="J13" s="52">
        <v>11020</v>
      </c>
      <c r="K13" s="52">
        <v>14804</v>
      </c>
      <c r="L13" s="52">
        <v>3501</v>
      </c>
      <c r="M13" s="52">
        <v>7102</v>
      </c>
      <c r="N13" s="52">
        <v>11134</v>
      </c>
      <c r="O13" s="52">
        <v>14559</v>
      </c>
      <c r="P13" s="52">
        <v>3719</v>
      </c>
      <c r="Q13" s="52">
        <v>7417</v>
      </c>
      <c r="R13" s="52">
        <v>11133</v>
      </c>
      <c r="S13" s="52">
        <v>14803</v>
      </c>
      <c r="U13" s="52">
        <v>2696</v>
      </c>
      <c r="V13" s="52">
        <f t="shared" ref="V13:V29" si="6">E13-D13</f>
        <v>2819</v>
      </c>
      <c r="W13" s="52">
        <f t="shared" ref="W13:W29" si="7">F13-E13</f>
        <v>3010</v>
      </c>
      <c r="X13" s="52">
        <f t="shared" ref="X13:X29" si="8">G13-F13</f>
        <v>3286</v>
      </c>
      <c r="Y13" s="52">
        <v>3701</v>
      </c>
      <c r="Z13" s="52">
        <f t="shared" ref="Z13:Z29" si="9">I13-H13</f>
        <v>3785</v>
      </c>
      <c r="AA13" s="52">
        <f t="shared" ref="AA13:AA29" si="10">J13-I13</f>
        <v>3534</v>
      </c>
      <c r="AB13" s="52">
        <f t="shared" ref="AB13:AB29" si="11">K13-J13</f>
        <v>3784</v>
      </c>
      <c r="AC13" s="52">
        <v>3501</v>
      </c>
      <c r="AD13" s="52">
        <f t="shared" ref="AD13:AD29" si="12">M13-L13</f>
        <v>3601</v>
      </c>
      <c r="AE13" s="52">
        <f t="shared" ref="AE13:AE29" si="13">N13-M13</f>
        <v>4032</v>
      </c>
      <c r="AF13" s="52">
        <f t="shared" ref="AF13:AF29" si="14">O13-N13</f>
        <v>3425</v>
      </c>
      <c r="AG13" s="52">
        <v>3719</v>
      </c>
      <c r="AH13" s="52">
        <f t="shared" ref="AH13:AH29" si="15">Q13-P13</f>
        <v>3698</v>
      </c>
      <c r="AI13" s="52">
        <f t="shared" ref="AI13:AI29" si="16">R13-Q13</f>
        <v>3716</v>
      </c>
      <c r="AJ13" s="52">
        <f t="shared" ref="AJ13:AJ29" si="17">S13-R13</f>
        <v>3670</v>
      </c>
    </row>
    <row r="14" spans="2:42" ht="12" customHeight="1" x14ac:dyDescent="0.2">
      <c r="B14" s="51"/>
      <c r="C14" s="67" t="s">
        <v>131</v>
      </c>
      <c r="D14" s="52">
        <v>0</v>
      </c>
      <c r="E14" s="52"/>
      <c r="F14" s="52">
        <v>0</v>
      </c>
      <c r="G14" s="52">
        <v>0</v>
      </c>
      <c r="H14" s="52"/>
      <c r="I14" s="52">
        <v>0</v>
      </c>
      <c r="J14" s="52"/>
      <c r="K14" s="52">
        <v>0</v>
      </c>
      <c r="L14" s="52"/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U14" s="52">
        <v>0</v>
      </c>
      <c r="V14" s="52">
        <f t="shared" si="6"/>
        <v>0</v>
      </c>
      <c r="W14" s="52">
        <f t="shared" si="7"/>
        <v>0</v>
      </c>
      <c r="X14" s="52">
        <f t="shared" si="8"/>
        <v>0</v>
      </c>
      <c r="Y14" s="52"/>
      <c r="Z14" s="52">
        <f t="shared" si="9"/>
        <v>0</v>
      </c>
      <c r="AA14" s="52">
        <f t="shared" si="10"/>
        <v>0</v>
      </c>
      <c r="AB14" s="52">
        <f t="shared" si="11"/>
        <v>0</v>
      </c>
      <c r="AC14" s="52"/>
      <c r="AD14" s="52">
        <f t="shared" si="12"/>
        <v>0</v>
      </c>
      <c r="AE14" s="52">
        <f t="shared" si="13"/>
        <v>0</v>
      </c>
      <c r="AF14" s="52">
        <f t="shared" si="14"/>
        <v>0</v>
      </c>
      <c r="AG14" s="52">
        <v>0</v>
      </c>
      <c r="AH14" s="52">
        <f t="shared" si="15"/>
        <v>0</v>
      </c>
      <c r="AI14" s="52">
        <f t="shared" si="16"/>
        <v>0</v>
      </c>
      <c r="AJ14" s="52">
        <f t="shared" si="17"/>
        <v>0</v>
      </c>
    </row>
    <row r="15" spans="2:42" ht="12" customHeight="1" x14ac:dyDescent="0.2">
      <c r="B15" s="51"/>
      <c r="C15" s="67" t="s">
        <v>132</v>
      </c>
      <c r="D15" s="52">
        <v>7341</v>
      </c>
      <c r="E15" s="52">
        <v>14861</v>
      </c>
      <c r="F15" s="52">
        <v>22411</v>
      </c>
      <c r="G15" s="52">
        <v>29971</v>
      </c>
      <c r="H15" s="52">
        <v>7995</v>
      </c>
      <c r="I15" s="52">
        <v>17185</v>
      </c>
      <c r="J15" s="52">
        <v>26012</v>
      </c>
      <c r="K15" s="52">
        <v>35067</v>
      </c>
      <c r="L15" s="52">
        <v>9288</v>
      </c>
      <c r="M15" s="52">
        <v>18668</v>
      </c>
      <c r="N15" s="52">
        <v>28355</v>
      </c>
      <c r="O15" s="52">
        <v>37950</v>
      </c>
      <c r="P15" s="52">
        <v>9850</v>
      </c>
      <c r="Q15" s="52">
        <v>19887</v>
      </c>
      <c r="R15" s="52">
        <v>30334</v>
      </c>
      <c r="S15" s="52">
        <v>40969</v>
      </c>
      <c r="U15" s="52">
        <v>7341</v>
      </c>
      <c r="V15" s="52">
        <f t="shared" si="6"/>
        <v>7520</v>
      </c>
      <c r="W15" s="52">
        <f t="shared" si="7"/>
        <v>7550</v>
      </c>
      <c r="X15" s="52">
        <f t="shared" si="8"/>
        <v>7560</v>
      </c>
      <c r="Y15" s="52">
        <v>7995</v>
      </c>
      <c r="Z15" s="52">
        <f t="shared" si="9"/>
        <v>9190</v>
      </c>
      <c r="AA15" s="52">
        <f t="shared" si="10"/>
        <v>8827</v>
      </c>
      <c r="AB15" s="52">
        <f t="shared" si="11"/>
        <v>9055</v>
      </c>
      <c r="AC15" s="52">
        <v>9288</v>
      </c>
      <c r="AD15" s="52">
        <f t="shared" si="12"/>
        <v>9380</v>
      </c>
      <c r="AE15" s="52">
        <f t="shared" si="13"/>
        <v>9687</v>
      </c>
      <c r="AF15" s="52">
        <f t="shared" si="14"/>
        <v>9595</v>
      </c>
      <c r="AG15" s="52">
        <v>9850</v>
      </c>
      <c r="AH15" s="52">
        <f t="shared" si="15"/>
        <v>10037</v>
      </c>
      <c r="AI15" s="52">
        <f t="shared" si="16"/>
        <v>10447</v>
      </c>
      <c r="AJ15" s="52">
        <f t="shared" si="17"/>
        <v>10635</v>
      </c>
    </row>
    <row r="16" spans="2:42" ht="12" customHeight="1" x14ac:dyDescent="0.2">
      <c r="B16" s="51"/>
      <c r="C16" s="67" t="s">
        <v>86</v>
      </c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>
        <v>0</v>
      </c>
      <c r="R16" s="52"/>
      <c r="S16" s="52"/>
      <c r="U16" s="52"/>
      <c r="V16" s="52">
        <f t="shared" si="6"/>
        <v>0</v>
      </c>
      <c r="W16" s="52">
        <f t="shared" si="7"/>
        <v>0</v>
      </c>
      <c r="X16" s="52">
        <f t="shared" si="8"/>
        <v>0</v>
      </c>
      <c r="Y16" s="52"/>
      <c r="Z16" s="52">
        <f t="shared" si="9"/>
        <v>0</v>
      </c>
      <c r="AA16" s="52">
        <f t="shared" si="10"/>
        <v>0</v>
      </c>
      <c r="AB16" s="52">
        <f t="shared" si="11"/>
        <v>0</v>
      </c>
      <c r="AC16" s="52"/>
      <c r="AD16" s="52">
        <f t="shared" si="12"/>
        <v>0</v>
      </c>
      <c r="AE16" s="52">
        <f t="shared" si="13"/>
        <v>0</v>
      </c>
      <c r="AF16" s="52">
        <f t="shared" si="14"/>
        <v>0</v>
      </c>
      <c r="AG16" s="52"/>
      <c r="AH16" s="52">
        <f t="shared" si="15"/>
        <v>0</v>
      </c>
      <c r="AI16" s="52">
        <f t="shared" si="16"/>
        <v>0</v>
      </c>
      <c r="AJ16" s="52">
        <f t="shared" si="17"/>
        <v>0</v>
      </c>
    </row>
    <row r="17" spans="2:36" ht="12" customHeight="1" x14ac:dyDescent="0.2">
      <c r="B17" s="51"/>
      <c r="C17" s="67" t="s">
        <v>133</v>
      </c>
      <c r="D17" s="52"/>
      <c r="E17" s="52">
        <v>110</v>
      </c>
      <c r="F17" s="52">
        <v>96</v>
      </c>
      <c r="G17" s="52">
        <v>-120</v>
      </c>
      <c r="H17" s="52"/>
      <c r="I17" s="52">
        <v>-50</v>
      </c>
      <c r="J17" s="52">
        <v>-454</v>
      </c>
      <c r="K17" s="52">
        <v>-1945</v>
      </c>
      <c r="L17" s="52">
        <v>-917</v>
      </c>
      <c r="M17" s="52">
        <v>-112</v>
      </c>
      <c r="N17" s="52">
        <v>-2363</v>
      </c>
      <c r="O17" s="52">
        <v>-2363</v>
      </c>
      <c r="P17" s="52">
        <v>0</v>
      </c>
      <c r="Q17" s="52">
        <v>0</v>
      </c>
      <c r="R17" s="52">
        <v>0</v>
      </c>
      <c r="S17" s="52">
        <v>0</v>
      </c>
      <c r="U17" s="52"/>
      <c r="V17" s="52">
        <f t="shared" si="6"/>
        <v>110</v>
      </c>
      <c r="W17" s="52">
        <f t="shared" si="7"/>
        <v>-14</v>
      </c>
      <c r="X17" s="52">
        <f t="shared" si="8"/>
        <v>-216</v>
      </c>
      <c r="Y17" s="52"/>
      <c r="Z17" s="52">
        <f t="shared" si="9"/>
        <v>-50</v>
      </c>
      <c r="AA17" s="52">
        <f t="shared" si="10"/>
        <v>-404</v>
      </c>
      <c r="AB17" s="52">
        <f t="shared" si="11"/>
        <v>-1491</v>
      </c>
      <c r="AC17" s="52">
        <v>-917</v>
      </c>
      <c r="AD17" s="52">
        <f t="shared" si="12"/>
        <v>805</v>
      </c>
      <c r="AE17" s="52">
        <f t="shared" si="13"/>
        <v>-2251</v>
      </c>
      <c r="AF17" s="52">
        <f t="shared" si="14"/>
        <v>0</v>
      </c>
      <c r="AG17" s="52">
        <v>0</v>
      </c>
      <c r="AH17" s="52">
        <f t="shared" si="15"/>
        <v>0</v>
      </c>
      <c r="AI17" s="52">
        <f t="shared" si="16"/>
        <v>0</v>
      </c>
      <c r="AJ17" s="52">
        <f t="shared" si="17"/>
        <v>0</v>
      </c>
    </row>
    <row r="18" spans="2:36" ht="12" customHeight="1" x14ac:dyDescent="0.2">
      <c r="B18" s="51"/>
      <c r="C18" s="67" t="s">
        <v>134</v>
      </c>
      <c r="D18" s="52">
        <v>-258</v>
      </c>
      <c r="E18" s="52">
        <v>-641</v>
      </c>
      <c r="F18" s="52">
        <v>-736</v>
      </c>
      <c r="G18" s="52">
        <v>-870</v>
      </c>
      <c r="H18" s="52">
        <v>-408</v>
      </c>
      <c r="I18" s="52">
        <v>-628</v>
      </c>
      <c r="J18" s="52">
        <v>-703</v>
      </c>
      <c r="K18" s="52">
        <v>-1530</v>
      </c>
      <c r="L18" s="52">
        <v>0</v>
      </c>
      <c r="M18" s="52">
        <v>-1038</v>
      </c>
      <c r="N18" s="52">
        <v>-1845</v>
      </c>
      <c r="O18" s="52">
        <v>-2025</v>
      </c>
      <c r="P18" s="52">
        <v>-36621</v>
      </c>
      <c r="Q18" s="52">
        <v>-36658</v>
      </c>
      <c r="R18" s="52">
        <v>-36859</v>
      </c>
      <c r="S18" s="52">
        <v>-37017</v>
      </c>
      <c r="U18" s="52">
        <v>-258</v>
      </c>
      <c r="V18" s="52">
        <f t="shared" si="6"/>
        <v>-383</v>
      </c>
      <c r="W18" s="52">
        <f t="shared" si="7"/>
        <v>-95</v>
      </c>
      <c r="X18" s="52">
        <f t="shared" si="8"/>
        <v>-134</v>
      </c>
      <c r="Y18" s="52">
        <v>-408</v>
      </c>
      <c r="Z18" s="52">
        <f t="shared" si="9"/>
        <v>-220</v>
      </c>
      <c r="AA18" s="52">
        <f t="shared" si="10"/>
        <v>-75</v>
      </c>
      <c r="AB18" s="52">
        <f t="shared" si="11"/>
        <v>-827</v>
      </c>
      <c r="AC18" s="52">
        <v>0</v>
      </c>
      <c r="AD18" s="52">
        <f t="shared" si="12"/>
        <v>-1038</v>
      </c>
      <c r="AE18" s="52">
        <f t="shared" si="13"/>
        <v>-807</v>
      </c>
      <c r="AF18" s="52">
        <f t="shared" si="14"/>
        <v>-180</v>
      </c>
      <c r="AG18" s="52">
        <v>-36621</v>
      </c>
      <c r="AH18" s="52">
        <f t="shared" si="15"/>
        <v>-37</v>
      </c>
      <c r="AI18" s="52">
        <f t="shared" si="16"/>
        <v>-201</v>
      </c>
      <c r="AJ18" s="52">
        <f t="shared" si="17"/>
        <v>-158</v>
      </c>
    </row>
    <row r="19" spans="2:36" ht="12" customHeight="1" x14ac:dyDescent="0.2">
      <c r="B19" s="51"/>
      <c r="C19" s="67" t="s">
        <v>135</v>
      </c>
      <c r="D19" s="52"/>
      <c r="E19" s="52">
        <v>0</v>
      </c>
      <c r="F19" s="52">
        <v>-22</v>
      </c>
      <c r="G19" s="52">
        <v>0</v>
      </c>
      <c r="H19" s="52"/>
      <c r="I19" s="52">
        <v>0</v>
      </c>
      <c r="J19" s="52"/>
      <c r="K19" s="52">
        <v>0</v>
      </c>
      <c r="L19" s="52"/>
      <c r="M19" s="52">
        <v>0</v>
      </c>
      <c r="N19" s="52"/>
      <c r="O19" s="52">
        <v>537</v>
      </c>
      <c r="P19" s="52">
        <v>0</v>
      </c>
      <c r="Q19" s="52">
        <v>0</v>
      </c>
      <c r="R19" s="52">
        <v>0</v>
      </c>
      <c r="S19" s="52">
        <v>0</v>
      </c>
      <c r="U19" s="52"/>
      <c r="V19" s="52">
        <f t="shared" si="6"/>
        <v>0</v>
      </c>
      <c r="W19" s="52">
        <f t="shared" si="7"/>
        <v>-22</v>
      </c>
      <c r="X19" s="52">
        <f t="shared" si="8"/>
        <v>22</v>
      </c>
      <c r="Y19" s="52"/>
      <c r="Z19" s="52">
        <f t="shared" si="9"/>
        <v>0</v>
      </c>
      <c r="AA19" s="52">
        <f t="shared" si="10"/>
        <v>0</v>
      </c>
      <c r="AB19" s="52">
        <f t="shared" si="11"/>
        <v>0</v>
      </c>
      <c r="AC19" s="52"/>
      <c r="AD19" s="52">
        <f t="shared" si="12"/>
        <v>0</v>
      </c>
      <c r="AE19" s="52">
        <f t="shared" si="13"/>
        <v>0</v>
      </c>
      <c r="AF19" s="52">
        <f t="shared" si="14"/>
        <v>537</v>
      </c>
      <c r="AG19" s="52">
        <v>0</v>
      </c>
      <c r="AH19" s="52">
        <f t="shared" si="15"/>
        <v>0</v>
      </c>
      <c r="AI19" s="52">
        <f t="shared" si="16"/>
        <v>0</v>
      </c>
      <c r="AJ19" s="52">
        <f t="shared" si="17"/>
        <v>0</v>
      </c>
    </row>
    <row r="20" spans="2:36" ht="12" customHeight="1" x14ac:dyDescent="0.2">
      <c r="B20" s="51"/>
      <c r="C20" s="67" t="s">
        <v>136</v>
      </c>
      <c r="D20" s="52"/>
      <c r="E20" s="52">
        <v>0</v>
      </c>
      <c r="F20" s="52"/>
      <c r="G20" s="52">
        <v>-40</v>
      </c>
      <c r="H20" s="52"/>
      <c r="I20" s="52">
        <v>0</v>
      </c>
      <c r="J20" s="52"/>
      <c r="K20" s="52">
        <v>-105</v>
      </c>
      <c r="L20" s="52">
        <v>0</v>
      </c>
      <c r="M20" s="52">
        <v>0</v>
      </c>
      <c r="N20" s="52">
        <v>0</v>
      </c>
      <c r="O20" s="52">
        <v>81</v>
      </c>
      <c r="P20" s="52">
        <v>0</v>
      </c>
      <c r="Q20" s="52">
        <v>0</v>
      </c>
      <c r="R20" s="52">
        <v>0</v>
      </c>
      <c r="S20" s="52">
        <v>-257</v>
      </c>
      <c r="U20" s="52"/>
      <c r="V20" s="52">
        <f t="shared" si="6"/>
        <v>0</v>
      </c>
      <c r="W20" s="52">
        <f t="shared" si="7"/>
        <v>0</v>
      </c>
      <c r="X20" s="52">
        <f t="shared" si="8"/>
        <v>-40</v>
      </c>
      <c r="Y20" s="52"/>
      <c r="Z20" s="52">
        <f t="shared" si="9"/>
        <v>0</v>
      </c>
      <c r="AA20" s="52">
        <f t="shared" si="10"/>
        <v>0</v>
      </c>
      <c r="AB20" s="52">
        <f t="shared" si="11"/>
        <v>-105</v>
      </c>
      <c r="AC20" s="52">
        <v>0</v>
      </c>
      <c r="AD20" s="52">
        <f t="shared" si="12"/>
        <v>0</v>
      </c>
      <c r="AE20" s="52">
        <f t="shared" si="13"/>
        <v>0</v>
      </c>
      <c r="AF20" s="52">
        <f t="shared" si="14"/>
        <v>81</v>
      </c>
      <c r="AG20" s="52">
        <v>0</v>
      </c>
      <c r="AH20" s="52">
        <f t="shared" si="15"/>
        <v>0</v>
      </c>
      <c r="AI20" s="52">
        <f t="shared" si="16"/>
        <v>0</v>
      </c>
      <c r="AJ20" s="52">
        <f t="shared" si="17"/>
        <v>-257</v>
      </c>
    </row>
    <row r="21" spans="2:36" ht="12" customHeight="1" x14ac:dyDescent="0.2">
      <c r="B21" s="51"/>
      <c r="C21" s="67" t="s">
        <v>137</v>
      </c>
      <c r="D21" s="52">
        <v>-337</v>
      </c>
      <c r="E21" s="52">
        <v>-431</v>
      </c>
      <c r="F21" s="52">
        <v>-537</v>
      </c>
      <c r="G21" s="52">
        <v>-509</v>
      </c>
      <c r="H21" s="52">
        <v>-232</v>
      </c>
      <c r="I21" s="52">
        <v>5</v>
      </c>
      <c r="J21" s="52">
        <v>118</v>
      </c>
      <c r="K21" s="52">
        <v>381</v>
      </c>
      <c r="L21" s="52">
        <v>-900</v>
      </c>
      <c r="M21" s="52">
        <v>-668</v>
      </c>
      <c r="N21" s="52">
        <v>-608</v>
      </c>
      <c r="O21" s="52">
        <v>177</v>
      </c>
      <c r="P21" s="52">
        <v>-32</v>
      </c>
      <c r="Q21" s="52">
        <v>857</v>
      </c>
      <c r="R21" s="52">
        <v>1328</v>
      </c>
      <c r="S21" s="52">
        <v>3678</v>
      </c>
      <c r="U21" s="52">
        <v>-337</v>
      </c>
      <c r="V21" s="52">
        <f t="shared" si="6"/>
        <v>-94</v>
      </c>
      <c r="W21" s="52">
        <f t="shared" si="7"/>
        <v>-106</v>
      </c>
      <c r="X21" s="52">
        <f t="shared" si="8"/>
        <v>28</v>
      </c>
      <c r="Y21" s="52">
        <v>-232</v>
      </c>
      <c r="Z21" s="52">
        <f t="shared" si="9"/>
        <v>237</v>
      </c>
      <c r="AA21" s="52">
        <f t="shared" si="10"/>
        <v>113</v>
      </c>
      <c r="AB21" s="52">
        <f t="shared" si="11"/>
        <v>263</v>
      </c>
      <c r="AC21" s="52">
        <v>-900</v>
      </c>
      <c r="AD21" s="52">
        <f t="shared" si="12"/>
        <v>232</v>
      </c>
      <c r="AE21" s="52">
        <f t="shared" si="13"/>
        <v>60</v>
      </c>
      <c r="AF21" s="52">
        <f t="shared" si="14"/>
        <v>785</v>
      </c>
      <c r="AG21" s="52">
        <v>-32</v>
      </c>
      <c r="AH21" s="52">
        <f t="shared" si="15"/>
        <v>889</v>
      </c>
      <c r="AI21" s="52">
        <f t="shared" si="16"/>
        <v>471</v>
      </c>
      <c r="AJ21" s="52">
        <f t="shared" si="17"/>
        <v>2350</v>
      </c>
    </row>
    <row r="22" spans="2:36" ht="12" customHeight="1" x14ac:dyDescent="0.2">
      <c r="B22" s="51"/>
      <c r="C22" s="67" t="s">
        <v>138</v>
      </c>
      <c r="D22" s="52">
        <v>1040</v>
      </c>
      <c r="E22" s="52">
        <v>2040</v>
      </c>
      <c r="F22" s="52">
        <v>2998</v>
      </c>
      <c r="G22" s="52">
        <v>4188</v>
      </c>
      <c r="H22" s="52">
        <v>1081</v>
      </c>
      <c r="I22" s="52">
        <v>2344</v>
      </c>
      <c r="J22" s="52">
        <v>3286</v>
      </c>
      <c r="K22" s="52">
        <v>4316</v>
      </c>
      <c r="L22" s="52">
        <v>920</v>
      </c>
      <c r="M22" s="52">
        <v>1323</v>
      </c>
      <c r="N22" s="52">
        <v>1837</v>
      </c>
      <c r="O22" s="52">
        <v>2191</v>
      </c>
      <c r="P22" s="52">
        <v>330</v>
      </c>
      <c r="Q22" s="52">
        <v>831</v>
      </c>
      <c r="R22" s="52">
        <v>1394</v>
      </c>
      <c r="S22" s="52">
        <v>2411</v>
      </c>
      <c r="U22" s="52">
        <v>1040</v>
      </c>
      <c r="V22" s="52">
        <f t="shared" si="6"/>
        <v>1000</v>
      </c>
      <c r="W22" s="52">
        <f t="shared" si="7"/>
        <v>958</v>
      </c>
      <c r="X22" s="52">
        <f t="shared" si="8"/>
        <v>1190</v>
      </c>
      <c r="Y22" s="52">
        <v>1081</v>
      </c>
      <c r="Z22" s="52">
        <f t="shared" si="9"/>
        <v>1263</v>
      </c>
      <c r="AA22" s="52">
        <f t="shared" si="10"/>
        <v>942</v>
      </c>
      <c r="AB22" s="52">
        <f t="shared" si="11"/>
        <v>1030</v>
      </c>
      <c r="AC22" s="52">
        <v>920</v>
      </c>
      <c r="AD22" s="52">
        <f t="shared" si="12"/>
        <v>403</v>
      </c>
      <c r="AE22" s="52">
        <f t="shared" si="13"/>
        <v>514</v>
      </c>
      <c r="AF22" s="52">
        <f t="shared" si="14"/>
        <v>354</v>
      </c>
      <c r="AG22" s="52">
        <v>330</v>
      </c>
      <c r="AH22" s="52">
        <f t="shared" si="15"/>
        <v>501</v>
      </c>
      <c r="AI22" s="52">
        <f t="shared" si="16"/>
        <v>563</v>
      </c>
      <c r="AJ22" s="52">
        <f t="shared" si="17"/>
        <v>1017</v>
      </c>
    </row>
    <row r="23" spans="2:36" ht="12" customHeight="1" x14ac:dyDescent="0.2">
      <c r="B23" s="51"/>
      <c r="C23" s="67" t="s">
        <v>139</v>
      </c>
      <c r="D23" s="52">
        <v>-157</v>
      </c>
      <c r="E23" s="52">
        <v>-453</v>
      </c>
      <c r="F23" s="52">
        <v>-933</v>
      </c>
      <c r="G23" s="52">
        <v>-1342</v>
      </c>
      <c r="H23" s="52">
        <v>-235</v>
      </c>
      <c r="I23" s="52">
        <v>-563</v>
      </c>
      <c r="J23" s="52">
        <v>-1166</v>
      </c>
      <c r="K23" s="52">
        <v>-1393</v>
      </c>
      <c r="L23" s="52">
        <v>6</v>
      </c>
      <c r="M23" s="52">
        <v>-400</v>
      </c>
      <c r="N23" s="52">
        <v>-859</v>
      </c>
      <c r="O23" s="52">
        <v>-1352</v>
      </c>
      <c r="P23" s="52">
        <v>-302</v>
      </c>
      <c r="Q23" s="52">
        <v>-582</v>
      </c>
      <c r="R23" s="52">
        <v>-961</v>
      </c>
      <c r="S23" s="52">
        <v>-1636</v>
      </c>
      <c r="U23" s="52">
        <v>-157</v>
      </c>
      <c r="V23" s="52">
        <f t="shared" si="6"/>
        <v>-296</v>
      </c>
      <c r="W23" s="52">
        <f t="shared" si="7"/>
        <v>-480</v>
      </c>
      <c r="X23" s="52">
        <f t="shared" si="8"/>
        <v>-409</v>
      </c>
      <c r="Y23" s="52">
        <v>-235</v>
      </c>
      <c r="Z23" s="52">
        <f t="shared" si="9"/>
        <v>-328</v>
      </c>
      <c r="AA23" s="52">
        <f t="shared" si="10"/>
        <v>-603</v>
      </c>
      <c r="AB23" s="52">
        <f t="shared" si="11"/>
        <v>-227</v>
      </c>
      <c r="AC23" s="52">
        <v>6</v>
      </c>
      <c r="AD23" s="52">
        <f t="shared" si="12"/>
        <v>-406</v>
      </c>
      <c r="AE23" s="52">
        <f t="shared" si="13"/>
        <v>-459</v>
      </c>
      <c r="AF23" s="52">
        <f t="shared" si="14"/>
        <v>-493</v>
      </c>
      <c r="AG23" s="52">
        <v>-302</v>
      </c>
      <c r="AH23" s="52">
        <f t="shared" si="15"/>
        <v>-280</v>
      </c>
      <c r="AI23" s="52">
        <f t="shared" si="16"/>
        <v>-379</v>
      </c>
      <c r="AJ23" s="52">
        <f t="shared" si="17"/>
        <v>-675</v>
      </c>
    </row>
    <row r="24" spans="2:36" ht="12" customHeight="1" x14ac:dyDescent="0.2">
      <c r="B24" s="51"/>
      <c r="C24" s="67" t="s">
        <v>28</v>
      </c>
      <c r="D24" s="52"/>
      <c r="E24" s="52"/>
      <c r="F24" s="52"/>
      <c r="G24" s="52">
        <v>0</v>
      </c>
      <c r="H24" s="52"/>
      <c r="I24" s="52">
        <v>0</v>
      </c>
      <c r="J24" s="52"/>
      <c r="K24" s="52">
        <v>0</v>
      </c>
      <c r="L24" s="52"/>
      <c r="M24" s="52">
        <v>0</v>
      </c>
      <c r="N24" s="52"/>
      <c r="O24" s="52">
        <v>0</v>
      </c>
      <c r="P24" s="52"/>
      <c r="Q24" s="52">
        <v>0</v>
      </c>
      <c r="R24" s="52"/>
      <c r="S24" s="52">
        <v>0</v>
      </c>
      <c r="U24" s="52"/>
      <c r="V24" s="52">
        <f t="shared" si="6"/>
        <v>0</v>
      </c>
      <c r="W24" s="52">
        <f t="shared" si="7"/>
        <v>0</v>
      </c>
      <c r="X24" s="52">
        <f t="shared" si="8"/>
        <v>0</v>
      </c>
      <c r="Y24" s="52"/>
      <c r="Z24" s="52">
        <f t="shared" si="9"/>
        <v>0</v>
      </c>
      <c r="AA24" s="52">
        <f t="shared" si="10"/>
        <v>0</v>
      </c>
      <c r="AB24" s="52">
        <f t="shared" si="11"/>
        <v>0</v>
      </c>
      <c r="AC24" s="52"/>
      <c r="AD24" s="52">
        <f t="shared" si="12"/>
        <v>0</v>
      </c>
      <c r="AE24" s="52">
        <f t="shared" si="13"/>
        <v>0</v>
      </c>
      <c r="AF24" s="52">
        <f t="shared" si="14"/>
        <v>0</v>
      </c>
      <c r="AG24" s="52"/>
      <c r="AH24" s="52">
        <f t="shared" si="15"/>
        <v>0</v>
      </c>
      <c r="AI24" s="52">
        <f t="shared" si="16"/>
        <v>0</v>
      </c>
      <c r="AJ24" s="52">
        <f t="shared" si="17"/>
        <v>0</v>
      </c>
    </row>
    <row r="25" spans="2:36" ht="12" customHeight="1" x14ac:dyDescent="0.2">
      <c r="B25" s="51"/>
      <c r="C25" s="67" t="s">
        <v>140</v>
      </c>
      <c r="D25" s="52">
        <v>-4</v>
      </c>
      <c r="E25" s="52">
        <v>-23</v>
      </c>
      <c r="F25" s="52">
        <v>-35</v>
      </c>
      <c r="G25" s="52">
        <v>-47</v>
      </c>
      <c r="H25" s="52">
        <v>-12</v>
      </c>
      <c r="I25" s="52">
        <v>-23</v>
      </c>
      <c r="J25" s="52">
        <v>-36</v>
      </c>
      <c r="K25" s="52">
        <v>-104</v>
      </c>
      <c r="L25" s="52">
        <v>-33</v>
      </c>
      <c r="M25" s="52">
        <v>-67</v>
      </c>
      <c r="N25" s="52">
        <v>-113</v>
      </c>
      <c r="O25" s="52">
        <v>-146</v>
      </c>
      <c r="P25" s="52">
        <v>-36</v>
      </c>
      <c r="Q25" s="52">
        <v>-70</v>
      </c>
      <c r="R25" s="52">
        <v>-105</v>
      </c>
      <c r="S25" s="52">
        <v>-187</v>
      </c>
      <c r="U25" s="52">
        <v>-4</v>
      </c>
      <c r="V25" s="52">
        <f t="shared" si="6"/>
        <v>-19</v>
      </c>
      <c r="W25" s="52">
        <f t="shared" si="7"/>
        <v>-12</v>
      </c>
      <c r="X25" s="52">
        <f t="shared" si="8"/>
        <v>-12</v>
      </c>
      <c r="Y25" s="52">
        <v>-12</v>
      </c>
      <c r="Z25" s="52">
        <f t="shared" si="9"/>
        <v>-11</v>
      </c>
      <c r="AA25" s="52">
        <f t="shared" si="10"/>
        <v>-13</v>
      </c>
      <c r="AB25" s="52">
        <f t="shared" si="11"/>
        <v>-68</v>
      </c>
      <c r="AC25" s="52">
        <v>-33</v>
      </c>
      <c r="AD25" s="52">
        <f t="shared" si="12"/>
        <v>-34</v>
      </c>
      <c r="AE25" s="52">
        <f t="shared" si="13"/>
        <v>-46</v>
      </c>
      <c r="AF25" s="52">
        <f t="shared" si="14"/>
        <v>-33</v>
      </c>
      <c r="AG25" s="52">
        <v>-36</v>
      </c>
      <c r="AH25" s="52">
        <f t="shared" si="15"/>
        <v>-34</v>
      </c>
      <c r="AI25" s="52">
        <f t="shared" si="16"/>
        <v>-35</v>
      </c>
      <c r="AJ25" s="52">
        <f t="shared" si="17"/>
        <v>-82</v>
      </c>
    </row>
    <row r="26" spans="2:36" ht="12" customHeight="1" x14ac:dyDescent="0.2">
      <c r="B26" s="51"/>
      <c r="C26" s="67" t="s">
        <v>141</v>
      </c>
      <c r="D26" s="52"/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U26" s="52"/>
      <c r="V26" s="52">
        <f t="shared" si="6"/>
        <v>0</v>
      </c>
      <c r="W26" s="52">
        <f t="shared" si="7"/>
        <v>0</v>
      </c>
      <c r="X26" s="52">
        <f t="shared" si="8"/>
        <v>0</v>
      </c>
      <c r="Y26" s="52">
        <v>0</v>
      </c>
      <c r="Z26" s="52">
        <f t="shared" si="9"/>
        <v>0</v>
      </c>
      <c r="AA26" s="52">
        <f t="shared" si="10"/>
        <v>0</v>
      </c>
      <c r="AB26" s="52">
        <f t="shared" si="11"/>
        <v>0</v>
      </c>
      <c r="AC26" s="52">
        <v>0</v>
      </c>
      <c r="AD26" s="52">
        <f t="shared" si="12"/>
        <v>0</v>
      </c>
      <c r="AE26" s="52">
        <f t="shared" si="13"/>
        <v>0</v>
      </c>
      <c r="AF26" s="52">
        <f t="shared" si="14"/>
        <v>0</v>
      </c>
      <c r="AG26" s="52">
        <v>0</v>
      </c>
      <c r="AH26" s="52">
        <f t="shared" si="15"/>
        <v>0</v>
      </c>
      <c r="AI26" s="52">
        <f t="shared" si="16"/>
        <v>0</v>
      </c>
      <c r="AJ26" s="52">
        <f t="shared" si="17"/>
        <v>0</v>
      </c>
    </row>
    <row r="27" spans="2:36" ht="12" customHeight="1" x14ac:dyDescent="0.2">
      <c r="B27" s="51"/>
      <c r="C27" s="67" t="s">
        <v>142</v>
      </c>
      <c r="D27" s="52"/>
      <c r="E27" s="52"/>
      <c r="F27" s="52">
        <v>0</v>
      </c>
      <c r="G27" s="52"/>
      <c r="H27" s="52">
        <v>0</v>
      </c>
      <c r="I27" s="52"/>
      <c r="J27" s="52">
        <v>0</v>
      </c>
      <c r="K27" s="52"/>
      <c r="L27" s="52">
        <v>0</v>
      </c>
      <c r="M27" s="52"/>
      <c r="N27" s="52">
        <v>0</v>
      </c>
      <c r="O27" s="52"/>
      <c r="P27" s="52">
        <v>0</v>
      </c>
      <c r="Q27" s="52">
        <v>0</v>
      </c>
      <c r="R27" s="52">
        <v>0</v>
      </c>
      <c r="S27" s="52"/>
      <c r="U27" s="52"/>
      <c r="V27" s="52">
        <f t="shared" si="6"/>
        <v>0</v>
      </c>
      <c r="W27" s="52">
        <f t="shared" si="7"/>
        <v>0</v>
      </c>
      <c r="X27" s="52">
        <f t="shared" si="8"/>
        <v>0</v>
      </c>
      <c r="Y27" s="52">
        <v>0</v>
      </c>
      <c r="Z27" s="52">
        <f t="shared" si="9"/>
        <v>0</v>
      </c>
      <c r="AA27" s="52">
        <f t="shared" si="10"/>
        <v>0</v>
      </c>
      <c r="AB27" s="52">
        <f t="shared" si="11"/>
        <v>0</v>
      </c>
      <c r="AC27" s="52">
        <v>0</v>
      </c>
      <c r="AD27" s="52">
        <f t="shared" si="12"/>
        <v>0</v>
      </c>
      <c r="AE27" s="52">
        <f t="shared" si="13"/>
        <v>0</v>
      </c>
      <c r="AF27" s="52">
        <f t="shared" si="14"/>
        <v>0</v>
      </c>
      <c r="AG27" s="52">
        <v>0</v>
      </c>
      <c r="AH27" s="52">
        <f t="shared" si="15"/>
        <v>0</v>
      </c>
      <c r="AI27" s="52">
        <f t="shared" si="16"/>
        <v>0</v>
      </c>
      <c r="AJ27" s="52">
        <f t="shared" si="17"/>
        <v>0</v>
      </c>
    </row>
    <row r="28" spans="2:36" ht="12" customHeight="1" x14ac:dyDescent="0.2">
      <c r="B28" s="51"/>
      <c r="C28" s="67" t="s">
        <v>143</v>
      </c>
      <c r="D28" s="52"/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U28" s="52"/>
      <c r="V28" s="52">
        <f t="shared" si="6"/>
        <v>0</v>
      </c>
      <c r="W28" s="52">
        <f t="shared" si="7"/>
        <v>0</v>
      </c>
      <c r="X28" s="52">
        <f t="shared" si="8"/>
        <v>0</v>
      </c>
      <c r="Y28" s="52">
        <v>0</v>
      </c>
      <c r="Z28" s="52">
        <f t="shared" si="9"/>
        <v>0</v>
      </c>
      <c r="AA28" s="52">
        <f t="shared" si="10"/>
        <v>0</v>
      </c>
      <c r="AB28" s="52">
        <f t="shared" si="11"/>
        <v>0</v>
      </c>
      <c r="AC28" s="52">
        <v>0</v>
      </c>
      <c r="AD28" s="52">
        <f t="shared" si="12"/>
        <v>0</v>
      </c>
      <c r="AE28" s="52">
        <f t="shared" si="13"/>
        <v>0</v>
      </c>
      <c r="AF28" s="52">
        <f t="shared" si="14"/>
        <v>0</v>
      </c>
      <c r="AG28" s="52">
        <v>0</v>
      </c>
      <c r="AH28" s="52">
        <f t="shared" si="15"/>
        <v>0</v>
      </c>
      <c r="AI28" s="52">
        <f t="shared" si="16"/>
        <v>0</v>
      </c>
      <c r="AJ28" s="52">
        <f t="shared" si="17"/>
        <v>0</v>
      </c>
    </row>
    <row r="29" spans="2:36" ht="12" customHeight="1" x14ac:dyDescent="0.2">
      <c r="B29" s="51"/>
      <c r="C29" s="67" t="s">
        <v>144</v>
      </c>
      <c r="D29" s="52">
        <v>687</v>
      </c>
      <c r="E29" s="52">
        <v>2301</v>
      </c>
      <c r="F29" s="52">
        <v>2073</v>
      </c>
      <c r="G29" s="52">
        <v>1347</v>
      </c>
      <c r="H29" s="52">
        <v>133</v>
      </c>
      <c r="I29" s="52">
        <v>-700</v>
      </c>
      <c r="J29" s="52">
        <v>-810</v>
      </c>
      <c r="K29" s="52">
        <v>-4608</v>
      </c>
      <c r="L29" s="52">
        <v>-468</v>
      </c>
      <c r="M29" s="52">
        <v>1813</v>
      </c>
      <c r="N29" s="52">
        <v>1534</v>
      </c>
      <c r="O29" s="52">
        <v>1600</v>
      </c>
      <c r="P29" s="52">
        <v>-183</v>
      </c>
      <c r="Q29" s="52">
        <v>5052</v>
      </c>
      <c r="R29" s="52">
        <v>5600</v>
      </c>
      <c r="S29" s="52">
        <v>6673</v>
      </c>
      <c r="U29" s="52">
        <v>687</v>
      </c>
      <c r="V29" s="52">
        <f t="shared" si="6"/>
        <v>1614</v>
      </c>
      <c r="W29" s="52">
        <f t="shared" si="7"/>
        <v>-228</v>
      </c>
      <c r="X29" s="52">
        <f t="shared" si="8"/>
        <v>-726</v>
      </c>
      <c r="Y29" s="52">
        <v>133</v>
      </c>
      <c r="Z29" s="52">
        <f t="shared" si="9"/>
        <v>-833</v>
      </c>
      <c r="AA29" s="52">
        <f t="shared" si="10"/>
        <v>-110</v>
      </c>
      <c r="AB29" s="52">
        <f t="shared" si="11"/>
        <v>-3798</v>
      </c>
      <c r="AC29" s="52">
        <v>-468</v>
      </c>
      <c r="AD29" s="52">
        <f t="shared" si="12"/>
        <v>2281</v>
      </c>
      <c r="AE29" s="52">
        <f t="shared" si="13"/>
        <v>-279</v>
      </c>
      <c r="AF29" s="52">
        <f t="shared" si="14"/>
        <v>66</v>
      </c>
      <c r="AG29" s="52">
        <v>-183</v>
      </c>
      <c r="AH29" s="52">
        <f t="shared" si="15"/>
        <v>5235</v>
      </c>
      <c r="AI29" s="52">
        <f t="shared" si="16"/>
        <v>548</v>
      </c>
      <c r="AJ29" s="52">
        <f t="shared" si="17"/>
        <v>1073</v>
      </c>
    </row>
    <row r="30" spans="2:36" ht="12" customHeight="1" x14ac:dyDescent="0.2">
      <c r="B30" s="222" t="s">
        <v>145</v>
      </c>
      <c r="C30" s="223"/>
      <c r="D30" s="68">
        <f t="shared" ref="D30:I30" si="18">SUM(D11:D12)</f>
        <v>31213</v>
      </c>
      <c r="E30" s="68">
        <f t="shared" si="18"/>
        <v>70208</v>
      </c>
      <c r="F30" s="68">
        <f t="shared" si="18"/>
        <v>103936</v>
      </c>
      <c r="G30" s="68">
        <f t="shared" si="18"/>
        <v>137567</v>
      </c>
      <c r="H30" s="68">
        <f t="shared" si="18"/>
        <v>33850</v>
      </c>
      <c r="I30" s="68">
        <f t="shared" si="18"/>
        <v>66225</v>
      </c>
      <c r="J30" s="68">
        <f>SUM(J11:J12)</f>
        <v>97057</v>
      </c>
      <c r="K30" s="68">
        <f t="shared" ref="K30:R30" si="19">SUM(K11:K12)</f>
        <v>118767</v>
      </c>
      <c r="L30" s="68">
        <f t="shared" si="19"/>
        <v>35572</v>
      </c>
      <c r="M30" s="68">
        <f t="shared" si="19"/>
        <v>70469</v>
      </c>
      <c r="N30" s="68">
        <f t="shared" si="19"/>
        <v>101705</v>
      </c>
      <c r="O30" s="68">
        <f t="shared" si="19"/>
        <v>133126</v>
      </c>
      <c r="P30" s="68">
        <f t="shared" si="19"/>
        <v>30756</v>
      </c>
      <c r="Q30" s="68">
        <f t="shared" si="19"/>
        <v>63901</v>
      </c>
      <c r="R30" s="68">
        <f t="shared" si="19"/>
        <v>95533</v>
      </c>
      <c r="S30" s="68">
        <f t="shared" ref="S30" si="20">SUM(S11:S12)</f>
        <v>114681</v>
      </c>
      <c r="U30" s="68">
        <f t="shared" ref="U30:Z30" si="21">SUM(U11:U12)</f>
        <v>31213</v>
      </c>
      <c r="V30" s="68">
        <f t="shared" si="21"/>
        <v>38995</v>
      </c>
      <c r="W30" s="68">
        <f t="shared" si="21"/>
        <v>33728</v>
      </c>
      <c r="X30" s="68">
        <f t="shared" si="21"/>
        <v>33631</v>
      </c>
      <c r="Y30" s="68">
        <f t="shared" si="21"/>
        <v>33850</v>
      </c>
      <c r="Z30" s="68">
        <f t="shared" si="21"/>
        <v>32375</v>
      </c>
      <c r="AA30" s="68">
        <f>SUM(AA11:AA12)</f>
        <v>30832</v>
      </c>
      <c r="AB30" s="68">
        <f t="shared" ref="AB30:AG30" si="22">SUM(AB11:AB12)</f>
        <v>21710</v>
      </c>
      <c r="AC30" s="68">
        <f t="shared" si="22"/>
        <v>35572</v>
      </c>
      <c r="AD30" s="68">
        <f t="shared" si="22"/>
        <v>34897</v>
      </c>
      <c r="AE30" s="68">
        <f t="shared" si="22"/>
        <v>31236</v>
      </c>
      <c r="AF30" s="68">
        <f t="shared" si="22"/>
        <v>31421</v>
      </c>
      <c r="AG30" s="68">
        <f t="shared" si="22"/>
        <v>30756</v>
      </c>
      <c r="AH30" s="68">
        <f t="shared" ref="AH30:AI30" si="23">SUM(AH11:AH12)</f>
        <v>33145</v>
      </c>
      <c r="AI30" s="68">
        <f t="shared" si="23"/>
        <v>31632</v>
      </c>
      <c r="AJ30" s="68">
        <f t="shared" ref="AJ30" si="24">SUM(AJ11:AJ12)</f>
        <v>19148</v>
      </c>
    </row>
    <row r="31" spans="2:36" ht="12" customHeight="1" x14ac:dyDescent="0.2">
      <c r="B31" s="51"/>
      <c r="C31" s="67" t="s">
        <v>146</v>
      </c>
      <c r="D31" s="52">
        <v>-10636</v>
      </c>
      <c r="E31" s="52">
        <v>-43431</v>
      </c>
      <c r="F31" s="52">
        <v>-57905</v>
      </c>
      <c r="G31" s="52">
        <v>-39950</v>
      </c>
      <c r="H31" s="52">
        <v>-9151</v>
      </c>
      <c r="I31" s="52">
        <v>-10633</v>
      </c>
      <c r="J31" s="52">
        <v>-12015</v>
      </c>
      <c r="K31" s="52">
        <v>13927</v>
      </c>
      <c r="L31" s="52">
        <v>-6282</v>
      </c>
      <c r="M31" s="52">
        <v>-17455</v>
      </c>
      <c r="N31" s="52">
        <v>-21904</v>
      </c>
      <c r="O31" s="52">
        <v>-3376</v>
      </c>
      <c r="P31" s="52">
        <v>-27763</v>
      </c>
      <c r="Q31" s="52">
        <v>-63892</v>
      </c>
      <c r="R31" s="52">
        <v>-82448</v>
      </c>
      <c r="S31" s="52">
        <v>-83860</v>
      </c>
      <c r="U31" s="52">
        <v>-10636</v>
      </c>
      <c r="V31" s="52">
        <f t="shared" ref="V31:V38" si="25">E31-D31</f>
        <v>-32795</v>
      </c>
      <c r="W31" s="52">
        <f t="shared" ref="W31:W38" si="26">F31-E31</f>
        <v>-14474</v>
      </c>
      <c r="X31" s="52">
        <f t="shared" ref="X31:X38" si="27">G31-F31</f>
        <v>17955</v>
      </c>
      <c r="Y31" s="52">
        <v>-9151</v>
      </c>
      <c r="Z31" s="52">
        <f t="shared" ref="Z31:Z38" si="28">I31-H31</f>
        <v>-1482</v>
      </c>
      <c r="AA31" s="52">
        <f t="shared" ref="AA31:AA38" si="29">J31-I31</f>
        <v>-1382</v>
      </c>
      <c r="AB31" s="52">
        <f t="shared" ref="AB31:AB38" si="30">K31-J31</f>
        <v>25942</v>
      </c>
      <c r="AC31" s="52">
        <v>-6282</v>
      </c>
      <c r="AD31" s="52">
        <f t="shared" ref="AD31:AF38" si="31">M31-L31</f>
        <v>-11173</v>
      </c>
      <c r="AE31" s="52">
        <f t="shared" si="31"/>
        <v>-4449</v>
      </c>
      <c r="AF31" s="52">
        <f t="shared" si="31"/>
        <v>18528</v>
      </c>
      <c r="AG31" s="52">
        <v>-27763</v>
      </c>
      <c r="AH31" s="52">
        <f t="shared" ref="AH31:AJ38" si="32">Q31-P31</f>
        <v>-36129</v>
      </c>
      <c r="AI31" s="52">
        <f t="shared" si="32"/>
        <v>-18556</v>
      </c>
      <c r="AJ31" s="52">
        <f t="shared" si="32"/>
        <v>-1412</v>
      </c>
    </row>
    <row r="32" spans="2:36" ht="12" customHeight="1" x14ac:dyDescent="0.2">
      <c r="B32" s="51"/>
      <c r="C32" s="67" t="s">
        <v>147</v>
      </c>
      <c r="D32" s="52"/>
      <c r="E32" s="52">
        <v>0</v>
      </c>
      <c r="F32" s="52">
        <v>0</v>
      </c>
      <c r="G32" s="52">
        <v>-6502</v>
      </c>
      <c r="H32" s="52">
        <v>406</v>
      </c>
      <c r="I32" s="52">
        <v>813</v>
      </c>
      <c r="J32" s="52">
        <v>1219</v>
      </c>
      <c r="K32" s="52">
        <v>-8694</v>
      </c>
      <c r="L32" s="52">
        <v>406</v>
      </c>
      <c r="M32" s="52">
        <v>813</v>
      </c>
      <c r="N32" s="52">
        <v>8478</v>
      </c>
      <c r="O32" s="52">
        <v>11945</v>
      </c>
      <c r="P32" s="52">
        <v>406</v>
      </c>
      <c r="Q32" s="52">
        <v>813</v>
      </c>
      <c r="R32" s="52">
        <v>1219</v>
      </c>
      <c r="S32" s="52">
        <v>1625</v>
      </c>
      <c r="U32" s="52"/>
      <c r="V32" s="52">
        <f t="shared" si="25"/>
        <v>0</v>
      </c>
      <c r="W32" s="52">
        <f t="shared" si="26"/>
        <v>0</v>
      </c>
      <c r="X32" s="52">
        <f t="shared" si="27"/>
        <v>-6502</v>
      </c>
      <c r="Y32" s="52">
        <v>406</v>
      </c>
      <c r="Z32" s="52">
        <f t="shared" si="28"/>
        <v>407</v>
      </c>
      <c r="AA32" s="52">
        <f t="shared" si="29"/>
        <v>406</v>
      </c>
      <c r="AB32" s="52">
        <f t="shared" si="30"/>
        <v>-9913</v>
      </c>
      <c r="AC32" s="52">
        <v>406</v>
      </c>
      <c r="AD32" s="52">
        <f t="shared" si="31"/>
        <v>407</v>
      </c>
      <c r="AE32" s="52">
        <f t="shared" si="31"/>
        <v>7665</v>
      </c>
      <c r="AF32" s="52">
        <f t="shared" si="31"/>
        <v>3467</v>
      </c>
      <c r="AG32" s="52">
        <v>406</v>
      </c>
      <c r="AH32" s="52">
        <f t="shared" si="32"/>
        <v>407</v>
      </c>
      <c r="AI32" s="52">
        <f t="shared" si="32"/>
        <v>406</v>
      </c>
      <c r="AJ32" s="52">
        <f t="shared" si="32"/>
        <v>406</v>
      </c>
    </row>
    <row r="33" spans="2:36" ht="12" customHeight="1" x14ac:dyDescent="0.2">
      <c r="B33" s="51"/>
      <c r="C33" s="67" t="s">
        <v>148</v>
      </c>
      <c r="D33" s="52">
        <v>32962</v>
      </c>
      <c r="E33" s="52">
        <v>27094</v>
      </c>
      <c r="F33" s="52">
        <v>35777</v>
      </c>
      <c r="G33" s="52">
        <v>22483</v>
      </c>
      <c r="H33" s="52">
        <v>1963</v>
      </c>
      <c r="I33" s="52">
        <v>8559</v>
      </c>
      <c r="J33" s="52">
        <v>-15245</v>
      </c>
      <c r="K33" s="52">
        <v>-4716</v>
      </c>
      <c r="L33" s="52">
        <v>-4609</v>
      </c>
      <c r="M33" s="52">
        <v>-8395</v>
      </c>
      <c r="N33" s="52">
        <v>-11585</v>
      </c>
      <c r="O33" s="52">
        <v>19072</v>
      </c>
      <c r="P33" s="52">
        <v>-14287</v>
      </c>
      <c r="Q33" s="52">
        <v>-13727</v>
      </c>
      <c r="R33" s="52">
        <v>-12257</v>
      </c>
      <c r="S33" s="52">
        <v>1552</v>
      </c>
      <c r="U33" s="52">
        <v>32962</v>
      </c>
      <c r="V33" s="52">
        <f t="shared" si="25"/>
        <v>-5868</v>
      </c>
      <c r="W33" s="52">
        <f t="shared" si="26"/>
        <v>8683</v>
      </c>
      <c r="X33" s="52">
        <f t="shared" si="27"/>
        <v>-13294</v>
      </c>
      <c r="Y33" s="52">
        <v>1963</v>
      </c>
      <c r="Z33" s="52">
        <f t="shared" si="28"/>
        <v>6596</v>
      </c>
      <c r="AA33" s="52">
        <f t="shared" si="29"/>
        <v>-23804</v>
      </c>
      <c r="AB33" s="52">
        <f t="shared" si="30"/>
        <v>10529</v>
      </c>
      <c r="AC33" s="52">
        <v>-4609</v>
      </c>
      <c r="AD33" s="52">
        <f t="shared" si="31"/>
        <v>-3786</v>
      </c>
      <c r="AE33" s="52">
        <f t="shared" si="31"/>
        <v>-3190</v>
      </c>
      <c r="AF33" s="52">
        <f t="shared" si="31"/>
        <v>30657</v>
      </c>
      <c r="AG33" s="52">
        <v>-14287</v>
      </c>
      <c r="AH33" s="52">
        <f t="shared" si="32"/>
        <v>560</v>
      </c>
      <c r="AI33" s="52">
        <f t="shared" si="32"/>
        <v>1470</v>
      </c>
      <c r="AJ33" s="52">
        <f t="shared" si="32"/>
        <v>13809</v>
      </c>
    </row>
    <row r="34" spans="2:36" ht="12" customHeight="1" x14ac:dyDescent="0.2">
      <c r="B34" s="51"/>
      <c r="C34" s="67" t="s">
        <v>149</v>
      </c>
      <c r="D34" s="52">
        <v>-9190</v>
      </c>
      <c r="E34" s="52">
        <v>14090</v>
      </c>
      <c r="F34" s="52">
        <v>11373</v>
      </c>
      <c r="G34" s="52">
        <v>12778</v>
      </c>
      <c r="H34" s="52">
        <v>239</v>
      </c>
      <c r="I34" s="52">
        <v>-8696</v>
      </c>
      <c r="J34" s="52">
        <v>7372</v>
      </c>
      <c r="K34" s="52">
        <v>11030</v>
      </c>
      <c r="L34" s="52">
        <v>18726</v>
      </c>
      <c r="M34" s="52">
        <v>5936</v>
      </c>
      <c r="N34" s="52">
        <v>4364</v>
      </c>
      <c r="O34" s="52">
        <v>-21440</v>
      </c>
      <c r="P34" s="52">
        <v>27443</v>
      </c>
      <c r="Q34" s="52">
        <v>32635</v>
      </c>
      <c r="R34" s="52">
        <v>23008</v>
      </c>
      <c r="S34" s="52">
        <v>25245</v>
      </c>
      <c r="U34" s="52">
        <v>-9190</v>
      </c>
      <c r="V34" s="52">
        <f t="shared" si="25"/>
        <v>23280</v>
      </c>
      <c r="W34" s="52">
        <f t="shared" si="26"/>
        <v>-2717</v>
      </c>
      <c r="X34" s="52">
        <f t="shared" si="27"/>
        <v>1405</v>
      </c>
      <c r="Y34" s="52">
        <v>239</v>
      </c>
      <c r="Z34" s="52">
        <f t="shared" si="28"/>
        <v>-8935</v>
      </c>
      <c r="AA34" s="52">
        <f t="shared" si="29"/>
        <v>16068</v>
      </c>
      <c r="AB34" s="52">
        <f t="shared" si="30"/>
        <v>3658</v>
      </c>
      <c r="AC34" s="52">
        <v>18726</v>
      </c>
      <c r="AD34" s="52">
        <f t="shared" si="31"/>
        <v>-12790</v>
      </c>
      <c r="AE34" s="52">
        <f t="shared" si="31"/>
        <v>-1572</v>
      </c>
      <c r="AF34" s="52">
        <f t="shared" si="31"/>
        <v>-25804</v>
      </c>
      <c r="AG34" s="52">
        <v>27443</v>
      </c>
      <c r="AH34" s="52">
        <f t="shared" si="32"/>
        <v>5192</v>
      </c>
      <c r="AI34" s="52">
        <f t="shared" si="32"/>
        <v>-9627</v>
      </c>
      <c r="AJ34" s="52">
        <f t="shared" si="32"/>
        <v>2237</v>
      </c>
    </row>
    <row r="35" spans="2:36" ht="12" customHeight="1" x14ac:dyDescent="0.2">
      <c r="B35" s="51"/>
      <c r="C35" s="67" t="s">
        <v>150</v>
      </c>
      <c r="D35" s="52">
        <v>-2130</v>
      </c>
      <c r="E35" s="52">
        <v>-14163</v>
      </c>
      <c r="F35" s="52">
        <v>-16700</v>
      </c>
      <c r="G35" s="52">
        <v>-16521</v>
      </c>
      <c r="H35" s="52">
        <v>15</v>
      </c>
      <c r="I35" s="52">
        <v>977</v>
      </c>
      <c r="J35" s="52">
        <v>6191</v>
      </c>
      <c r="K35" s="52">
        <v>9503</v>
      </c>
      <c r="L35" s="52">
        <v>1488</v>
      </c>
      <c r="M35" s="52">
        <v>1439</v>
      </c>
      <c r="N35" s="52">
        <v>4172</v>
      </c>
      <c r="O35" s="52">
        <v>851</v>
      </c>
      <c r="P35" s="52">
        <v>183</v>
      </c>
      <c r="Q35" s="52">
        <v>-564</v>
      </c>
      <c r="R35" s="52">
        <v>-4882</v>
      </c>
      <c r="S35" s="52">
        <v>-7063</v>
      </c>
      <c r="U35" s="52">
        <v>-2130</v>
      </c>
      <c r="V35" s="52">
        <f t="shared" si="25"/>
        <v>-12033</v>
      </c>
      <c r="W35" s="52">
        <f t="shared" si="26"/>
        <v>-2537</v>
      </c>
      <c r="X35" s="52">
        <f t="shared" si="27"/>
        <v>179</v>
      </c>
      <c r="Y35" s="52">
        <v>15</v>
      </c>
      <c r="Z35" s="52">
        <f t="shared" si="28"/>
        <v>962</v>
      </c>
      <c r="AA35" s="52">
        <f t="shared" si="29"/>
        <v>5214</v>
      </c>
      <c r="AB35" s="52">
        <f t="shared" si="30"/>
        <v>3312</v>
      </c>
      <c r="AC35" s="52">
        <v>1488</v>
      </c>
      <c r="AD35" s="52">
        <f t="shared" si="31"/>
        <v>-49</v>
      </c>
      <c r="AE35" s="52">
        <f t="shared" si="31"/>
        <v>2733</v>
      </c>
      <c r="AF35" s="52">
        <f t="shared" si="31"/>
        <v>-3321</v>
      </c>
      <c r="AG35" s="52">
        <v>183</v>
      </c>
      <c r="AH35" s="52">
        <f t="shared" si="32"/>
        <v>-747</v>
      </c>
      <c r="AI35" s="52">
        <f t="shared" si="32"/>
        <v>-4318</v>
      </c>
      <c r="AJ35" s="52">
        <f t="shared" si="32"/>
        <v>-2181</v>
      </c>
    </row>
    <row r="36" spans="2:36" ht="12" customHeight="1" x14ac:dyDescent="0.2">
      <c r="B36" s="51"/>
      <c r="C36" s="67" t="s">
        <v>151</v>
      </c>
      <c r="D36" s="52">
        <v>0</v>
      </c>
      <c r="E36" s="52">
        <v>0</v>
      </c>
      <c r="F36" s="52">
        <v>0</v>
      </c>
      <c r="G36" s="52">
        <v>-604</v>
      </c>
      <c r="H36" s="52">
        <v>87</v>
      </c>
      <c r="I36" s="52">
        <v>412</v>
      </c>
      <c r="J36" s="52">
        <v>186</v>
      </c>
      <c r="K36" s="52">
        <v>270</v>
      </c>
      <c r="L36" s="52">
        <v>-54</v>
      </c>
      <c r="M36" s="52">
        <v>62</v>
      </c>
      <c r="N36" s="52">
        <v>36</v>
      </c>
      <c r="O36" s="52">
        <v>-347</v>
      </c>
      <c r="P36" s="52">
        <v>20</v>
      </c>
      <c r="Q36" s="52">
        <v>107</v>
      </c>
      <c r="R36" s="52">
        <v>294</v>
      </c>
      <c r="S36" s="52">
        <v>223</v>
      </c>
      <c r="U36" s="52">
        <v>0</v>
      </c>
      <c r="V36" s="52">
        <f t="shared" si="25"/>
        <v>0</v>
      </c>
      <c r="W36" s="52">
        <f t="shared" si="26"/>
        <v>0</v>
      </c>
      <c r="X36" s="52">
        <f t="shared" si="27"/>
        <v>-604</v>
      </c>
      <c r="Y36" s="52">
        <v>87</v>
      </c>
      <c r="Z36" s="52">
        <f t="shared" si="28"/>
        <v>325</v>
      </c>
      <c r="AA36" s="52">
        <f t="shared" si="29"/>
        <v>-226</v>
      </c>
      <c r="AB36" s="52">
        <f t="shared" si="30"/>
        <v>84</v>
      </c>
      <c r="AC36" s="52">
        <v>-54</v>
      </c>
      <c r="AD36" s="52">
        <f t="shared" si="31"/>
        <v>116</v>
      </c>
      <c r="AE36" s="52">
        <f t="shared" si="31"/>
        <v>-26</v>
      </c>
      <c r="AF36" s="52">
        <f t="shared" si="31"/>
        <v>-383</v>
      </c>
      <c r="AG36" s="52">
        <v>20</v>
      </c>
      <c r="AH36" s="52">
        <f t="shared" si="32"/>
        <v>87</v>
      </c>
      <c r="AI36" s="52">
        <f t="shared" si="32"/>
        <v>187</v>
      </c>
      <c r="AJ36" s="52">
        <f t="shared" si="32"/>
        <v>-71</v>
      </c>
    </row>
    <row r="37" spans="2:36" ht="12" customHeight="1" x14ac:dyDescent="0.2">
      <c r="B37" s="51"/>
      <c r="C37" s="67" t="s">
        <v>152</v>
      </c>
      <c r="D37" s="52">
        <v>-3500</v>
      </c>
      <c r="E37" s="52">
        <v>-2652</v>
      </c>
      <c r="F37" s="52">
        <v>-1447</v>
      </c>
      <c r="G37" s="52">
        <v>-244</v>
      </c>
      <c r="H37" s="52">
        <v>-3710</v>
      </c>
      <c r="I37" s="52">
        <v>-619</v>
      </c>
      <c r="J37" s="52">
        <v>-496</v>
      </c>
      <c r="K37" s="52">
        <v>-2167</v>
      </c>
      <c r="L37" s="52">
        <v>-2713</v>
      </c>
      <c r="M37" s="52">
        <v>-907</v>
      </c>
      <c r="N37" s="52">
        <v>-270</v>
      </c>
      <c r="O37" s="52">
        <v>764</v>
      </c>
      <c r="P37" s="52">
        <v>-3381</v>
      </c>
      <c r="Q37" s="52">
        <v>-1994</v>
      </c>
      <c r="R37" s="52">
        <v>-1897</v>
      </c>
      <c r="S37" s="52">
        <v>-1629</v>
      </c>
      <c r="U37" s="52">
        <v>-3500</v>
      </c>
      <c r="V37" s="52">
        <f t="shared" si="25"/>
        <v>848</v>
      </c>
      <c r="W37" s="52">
        <f t="shared" si="26"/>
        <v>1205</v>
      </c>
      <c r="X37" s="52">
        <f t="shared" si="27"/>
        <v>1203</v>
      </c>
      <c r="Y37" s="52">
        <v>-3710</v>
      </c>
      <c r="Z37" s="52">
        <f t="shared" si="28"/>
        <v>3091</v>
      </c>
      <c r="AA37" s="52">
        <f t="shared" si="29"/>
        <v>123</v>
      </c>
      <c r="AB37" s="52">
        <f t="shared" si="30"/>
        <v>-1671</v>
      </c>
      <c r="AC37" s="52">
        <v>-2713</v>
      </c>
      <c r="AD37" s="52">
        <f t="shared" si="31"/>
        <v>1806</v>
      </c>
      <c r="AE37" s="52">
        <f t="shared" si="31"/>
        <v>637</v>
      </c>
      <c r="AF37" s="52">
        <f t="shared" si="31"/>
        <v>1034</v>
      </c>
      <c r="AG37" s="52">
        <v>-3381</v>
      </c>
      <c r="AH37" s="52">
        <f t="shared" si="32"/>
        <v>1387</v>
      </c>
      <c r="AI37" s="52">
        <f t="shared" si="32"/>
        <v>97</v>
      </c>
      <c r="AJ37" s="52">
        <f t="shared" si="32"/>
        <v>268</v>
      </c>
    </row>
    <row r="38" spans="2:36" ht="12" customHeight="1" x14ac:dyDescent="0.2">
      <c r="B38" s="51"/>
      <c r="C38" s="67" t="s">
        <v>144</v>
      </c>
      <c r="D38" s="52">
        <v>298</v>
      </c>
      <c r="E38" s="52">
        <v>474</v>
      </c>
      <c r="F38" s="52">
        <v>173</v>
      </c>
      <c r="G38" s="52">
        <v>0</v>
      </c>
      <c r="H38" s="52"/>
      <c r="I38" s="52">
        <v>-11</v>
      </c>
      <c r="J38" s="52">
        <v>0</v>
      </c>
      <c r="K38" s="52">
        <v>0</v>
      </c>
      <c r="L38" s="52">
        <v>0</v>
      </c>
      <c r="M38" s="52">
        <v>-266</v>
      </c>
      <c r="N38" s="52">
        <v>-167</v>
      </c>
      <c r="O38" s="52">
        <v>0</v>
      </c>
      <c r="P38" s="52">
        <v>0</v>
      </c>
      <c r="Q38" s="52">
        <v>-120</v>
      </c>
      <c r="R38" s="52">
        <v>2297</v>
      </c>
      <c r="S38" s="52">
        <v>0</v>
      </c>
      <c r="U38" s="52">
        <v>298</v>
      </c>
      <c r="V38" s="52">
        <f t="shared" si="25"/>
        <v>176</v>
      </c>
      <c r="W38" s="52">
        <f t="shared" si="26"/>
        <v>-301</v>
      </c>
      <c r="X38" s="52">
        <f t="shared" si="27"/>
        <v>-173</v>
      </c>
      <c r="Y38" s="52"/>
      <c r="Z38" s="52">
        <f t="shared" si="28"/>
        <v>-11</v>
      </c>
      <c r="AA38" s="52">
        <f t="shared" si="29"/>
        <v>11</v>
      </c>
      <c r="AB38" s="52">
        <f t="shared" si="30"/>
        <v>0</v>
      </c>
      <c r="AC38" s="52">
        <v>0</v>
      </c>
      <c r="AD38" s="52">
        <f t="shared" si="31"/>
        <v>-266</v>
      </c>
      <c r="AE38" s="52">
        <f t="shared" si="31"/>
        <v>99</v>
      </c>
      <c r="AF38" s="52">
        <f t="shared" si="31"/>
        <v>167</v>
      </c>
      <c r="AG38" s="52">
        <v>0</v>
      </c>
      <c r="AH38" s="52">
        <f t="shared" si="32"/>
        <v>-120</v>
      </c>
      <c r="AI38" s="52">
        <f t="shared" si="32"/>
        <v>2417</v>
      </c>
      <c r="AJ38" s="52">
        <f t="shared" si="32"/>
        <v>-2297</v>
      </c>
    </row>
    <row r="39" spans="2:36" ht="12" customHeight="1" x14ac:dyDescent="0.2">
      <c r="B39" s="222" t="s">
        <v>153</v>
      </c>
      <c r="C39" s="223"/>
      <c r="D39" s="68">
        <f t="shared" ref="D39:I39" si="33">SUM(D30:D38)</f>
        <v>39017</v>
      </c>
      <c r="E39" s="68">
        <f t="shared" si="33"/>
        <v>51620</v>
      </c>
      <c r="F39" s="68">
        <f t="shared" si="33"/>
        <v>75207</v>
      </c>
      <c r="G39" s="68">
        <f t="shared" si="33"/>
        <v>109007</v>
      </c>
      <c r="H39" s="68">
        <f t="shared" si="33"/>
        <v>23699</v>
      </c>
      <c r="I39" s="68">
        <f t="shared" si="33"/>
        <v>57027</v>
      </c>
      <c r="J39" s="68">
        <f>SUM(J30:J38)</f>
        <v>84269</v>
      </c>
      <c r="K39" s="68">
        <f t="shared" ref="K39:R39" si="34">SUM(K30:K38)</f>
        <v>137920</v>
      </c>
      <c r="L39" s="68">
        <f t="shared" si="34"/>
        <v>42534</v>
      </c>
      <c r="M39" s="68">
        <f t="shared" si="34"/>
        <v>51696</v>
      </c>
      <c r="N39" s="68">
        <f t="shared" si="34"/>
        <v>84829</v>
      </c>
      <c r="O39" s="68">
        <f t="shared" si="34"/>
        <v>140595</v>
      </c>
      <c r="P39" s="68">
        <f t="shared" si="34"/>
        <v>13377</v>
      </c>
      <c r="Q39" s="68">
        <f t="shared" si="34"/>
        <v>17159</v>
      </c>
      <c r="R39" s="68">
        <f t="shared" si="34"/>
        <v>20867</v>
      </c>
      <c r="S39" s="68">
        <f t="shared" ref="S39" si="35">SUM(S30:S38)</f>
        <v>50774</v>
      </c>
      <c r="U39" s="68">
        <f t="shared" ref="U39:Z39" si="36">SUM(U30:U38)</f>
        <v>39017</v>
      </c>
      <c r="V39" s="68">
        <f t="shared" si="36"/>
        <v>12603</v>
      </c>
      <c r="W39" s="68">
        <f t="shared" si="36"/>
        <v>23587</v>
      </c>
      <c r="X39" s="68">
        <f t="shared" si="36"/>
        <v>33800</v>
      </c>
      <c r="Y39" s="68">
        <f t="shared" si="36"/>
        <v>23699</v>
      </c>
      <c r="Z39" s="68">
        <f t="shared" si="36"/>
        <v>33328</v>
      </c>
      <c r="AA39" s="68">
        <f>SUM(AA30:AA38)</f>
        <v>27242</v>
      </c>
      <c r="AB39" s="68">
        <f t="shared" ref="AB39:AG39" si="37">SUM(AB30:AB38)</f>
        <v>53651</v>
      </c>
      <c r="AC39" s="68">
        <f t="shared" si="37"/>
        <v>42534</v>
      </c>
      <c r="AD39" s="68">
        <f t="shared" si="37"/>
        <v>9162</v>
      </c>
      <c r="AE39" s="68">
        <f t="shared" si="37"/>
        <v>33133</v>
      </c>
      <c r="AF39" s="68">
        <f t="shared" si="37"/>
        <v>55766</v>
      </c>
      <c r="AG39" s="68">
        <f t="shared" si="37"/>
        <v>13377</v>
      </c>
      <c r="AH39" s="68">
        <f t="shared" ref="AH39:AI39" si="38">SUM(AH30:AH38)</f>
        <v>3782</v>
      </c>
      <c r="AI39" s="68">
        <f t="shared" si="38"/>
        <v>3708</v>
      </c>
      <c r="AJ39" s="68">
        <f t="shared" ref="AJ39" si="39">SUM(AJ30:AJ38)</f>
        <v>29907</v>
      </c>
    </row>
    <row r="40" spans="2:36" ht="12" customHeight="1" x14ac:dyDescent="0.2">
      <c r="B40" s="51"/>
      <c r="C40" s="67" t="s">
        <v>154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0</v>
      </c>
      <c r="J40" s="52">
        <v>0</v>
      </c>
      <c r="K40" s="52">
        <v>0</v>
      </c>
      <c r="L40" s="52">
        <v>0</v>
      </c>
      <c r="M40" s="52">
        <v>0</v>
      </c>
      <c r="N40" s="52">
        <v>0</v>
      </c>
      <c r="O40" s="52">
        <v>0</v>
      </c>
      <c r="P40" s="52">
        <v>0</v>
      </c>
      <c r="Q40" s="52">
        <v>0</v>
      </c>
      <c r="R40" s="52">
        <v>0</v>
      </c>
      <c r="S40" s="52">
        <v>0</v>
      </c>
      <c r="U40" s="52">
        <v>0</v>
      </c>
      <c r="V40" s="52">
        <f t="shared" ref="V40:V42" si="40">E40-D40</f>
        <v>0</v>
      </c>
      <c r="W40" s="52">
        <f t="shared" ref="W40:W42" si="41">F40-E40</f>
        <v>0</v>
      </c>
      <c r="X40" s="52">
        <f t="shared" ref="X40:X42" si="42">G40-F40</f>
        <v>0</v>
      </c>
      <c r="Y40" s="52">
        <v>0</v>
      </c>
      <c r="Z40" s="52">
        <f t="shared" ref="Z40:Z42" si="43">I40-H40</f>
        <v>0</v>
      </c>
      <c r="AA40" s="52">
        <f t="shared" ref="AA40:AA42" si="44">J40-I40</f>
        <v>0</v>
      </c>
      <c r="AB40" s="52">
        <f t="shared" ref="AB40:AB42" si="45">K40-J40</f>
        <v>0</v>
      </c>
      <c r="AC40" s="52">
        <v>0</v>
      </c>
      <c r="AD40" s="52">
        <f>M40-L40</f>
        <v>0</v>
      </c>
      <c r="AE40" s="52">
        <f>N40-M40</f>
        <v>0</v>
      </c>
      <c r="AF40" s="52">
        <f>O40-N40</f>
        <v>0</v>
      </c>
      <c r="AG40" s="52">
        <v>0</v>
      </c>
      <c r="AH40" s="52">
        <f t="shared" ref="AH40:AJ42" si="46">Q40-P40</f>
        <v>0</v>
      </c>
      <c r="AI40" s="52">
        <f t="shared" si="46"/>
        <v>0</v>
      </c>
      <c r="AJ40" s="52">
        <f t="shared" si="46"/>
        <v>0</v>
      </c>
    </row>
    <row r="41" spans="2:36" ht="12" customHeight="1" x14ac:dyDescent="0.2">
      <c r="B41" s="51"/>
      <c r="C41" s="67" t="s">
        <v>304</v>
      </c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>
        <v>58</v>
      </c>
      <c r="R41" s="52">
        <v>341</v>
      </c>
      <c r="S41" s="52"/>
      <c r="U41" s="52"/>
      <c r="V41" s="52">
        <f t="shared" ref="V41" si="47">E41-D41</f>
        <v>0</v>
      </c>
      <c r="W41" s="52">
        <f t="shared" ref="W41" si="48">F41-E41</f>
        <v>0</v>
      </c>
      <c r="X41" s="52">
        <f t="shared" ref="X41" si="49">G41-F41</f>
        <v>0</v>
      </c>
      <c r="Y41" s="52">
        <v>0</v>
      </c>
      <c r="Z41" s="52">
        <f t="shared" ref="Z41" si="50">I41-H41</f>
        <v>0</v>
      </c>
      <c r="AA41" s="52">
        <f t="shared" ref="AA41" si="51">J41-I41</f>
        <v>0</v>
      </c>
      <c r="AB41" s="52">
        <f t="shared" ref="AB41" si="52">K41-J41</f>
        <v>0</v>
      </c>
      <c r="AC41" s="52">
        <v>0</v>
      </c>
      <c r="AD41" s="52">
        <f t="shared" ref="AD41" si="53">M41-L41</f>
        <v>0</v>
      </c>
      <c r="AE41" s="52">
        <f t="shared" ref="AE41" si="54">N41-M41</f>
        <v>0</v>
      </c>
      <c r="AF41" s="52">
        <f t="shared" ref="AF41" si="55">O41-N41</f>
        <v>0</v>
      </c>
      <c r="AG41" s="52">
        <v>0</v>
      </c>
      <c r="AH41" s="52">
        <f t="shared" si="46"/>
        <v>58</v>
      </c>
      <c r="AI41" s="52">
        <f t="shared" si="46"/>
        <v>283</v>
      </c>
      <c r="AJ41" s="52">
        <f t="shared" si="46"/>
        <v>-341</v>
      </c>
    </row>
    <row r="42" spans="2:36" ht="12" customHeight="1" x14ac:dyDescent="0.2">
      <c r="B42" s="51"/>
      <c r="C42" s="67" t="s">
        <v>155</v>
      </c>
      <c r="D42" s="52">
        <v>-7538</v>
      </c>
      <c r="E42" s="52">
        <v>-11381</v>
      </c>
      <c r="F42" s="52">
        <v>-15118</v>
      </c>
      <c r="G42" s="52">
        <v>-19224</v>
      </c>
      <c r="H42" s="52">
        <v>-5983</v>
      </c>
      <c r="I42" s="52">
        <v>-9412</v>
      </c>
      <c r="J42" s="52">
        <v>-12679</v>
      </c>
      <c r="K42" s="52">
        <v>-16617</v>
      </c>
      <c r="L42" s="52">
        <v>-6181</v>
      </c>
      <c r="M42" s="52">
        <v>-7909</v>
      </c>
      <c r="N42" s="52">
        <v>-13880</v>
      </c>
      <c r="O42" s="52">
        <v>-15574</v>
      </c>
      <c r="P42" s="52">
        <v>-8432</v>
      </c>
      <c r="Q42" s="52">
        <v>-12185</v>
      </c>
      <c r="R42" s="52">
        <v>-16128</v>
      </c>
      <c r="S42" s="52">
        <v>-19210</v>
      </c>
      <c r="U42" s="52">
        <v>-7538</v>
      </c>
      <c r="V42" s="52">
        <f t="shared" si="40"/>
        <v>-3843</v>
      </c>
      <c r="W42" s="52">
        <f t="shared" si="41"/>
        <v>-3737</v>
      </c>
      <c r="X42" s="52">
        <f t="shared" si="42"/>
        <v>-4106</v>
      </c>
      <c r="Y42" s="52">
        <v>-5983</v>
      </c>
      <c r="Z42" s="52">
        <f t="shared" si="43"/>
        <v>-3429</v>
      </c>
      <c r="AA42" s="52">
        <f t="shared" si="44"/>
        <v>-3267</v>
      </c>
      <c r="AB42" s="52">
        <f t="shared" si="45"/>
        <v>-3938</v>
      </c>
      <c r="AC42" s="52">
        <v>-6181</v>
      </c>
      <c r="AD42" s="52">
        <f>M42-L42</f>
        <v>-1728</v>
      </c>
      <c r="AE42" s="52">
        <f>N42-M42</f>
        <v>-5971</v>
      </c>
      <c r="AF42" s="52">
        <f>O42-N42</f>
        <v>-1694</v>
      </c>
      <c r="AG42" s="52">
        <v>-8432</v>
      </c>
      <c r="AH42" s="52">
        <f t="shared" si="46"/>
        <v>-3753</v>
      </c>
      <c r="AI42" s="52">
        <f t="shared" si="46"/>
        <v>-3943</v>
      </c>
      <c r="AJ42" s="52">
        <f t="shared" si="46"/>
        <v>-3082</v>
      </c>
    </row>
    <row r="43" spans="2:36" ht="12" customHeight="1" x14ac:dyDescent="0.2">
      <c r="B43" s="222" t="s">
        <v>156</v>
      </c>
      <c r="C43" s="223"/>
      <c r="D43" s="68">
        <f t="shared" ref="D43:I43" si="56">SUM(D39:D42)</f>
        <v>31479</v>
      </c>
      <c r="E43" s="68">
        <f t="shared" si="56"/>
        <v>40239</v>
      </c>
      <c r="F43" s="68">
        <f t="shared" si="56"/>
        <v>60089</v>
      </c>
      <c r="G43" s="68">
        <f t="shared" si="56"/>
        <v>89783</v>
      </c>
      <c r="H43" s="68">
        <f t="shared" si="56"/>
        <v>17716</v>
      </c>
      <c r="I43" s="68">
        <f t="shared" si="56"/>
        <v>47615</v>
      </c>
      <c r="J43" s="68">
        <f>SUM(J39:J42)</f>
        <v>71590</v>
      </c>
      <c r="K43" s="68">
        <f t="shared" ref="K43:R43" si="57">SUM(K39:K42)</f>
        <v>121303</v>
      </c>
      <c r="L43" s="68">
        <f t="shared" si="57"/>
        <v>36353</v>
      </c>
      <c r="M43" s="68">
        <f t="shared" si="57"/>
        <v>43787</v>
      </c>
      <c r="N43" s="68">
        <f t="shared" si="57"/>
        <v>70949</v>
      </c>
      <c r="O43" s="68">
        <f t="shared" si="57"/>
        <v>125021</v>
      </c>
      <c r="P43" s="68">
        <f t="shared" si="57"/>
        <v>4945</v>
      </c>
      <c r="Q43" s="68">
        <f t="shared" si="57"/>
        <v>5032</v>
      </c>
      <c r="R43" s="68">
        <f t="shared" si="57"/>
        <v>5080</v>
      </c>
      <c r="S43" s="68">
        <f t="shared" ref="S43" si="58">SUM(S39:S42)</f>
        <v>31564</v>
      </c>
      <c r="U43" s="68">
        <f t="shared" ref="U43:Z43" si="59">SUM(U39:U42)</f>
        <v>31479</v>
      </c>
      <c r="V43" s="68">
        <f t="shared" si="59"/>
        <v>8760</v>
      </c>
      <c r="W43" s="68">
        <f t="shared" si="59"/>
        <v>19850</v>
      </c>
      <c r="X43" s="68">
        <f t="shared" si="59"/>
        <v>29694</v>
      </c>
      <c r="Y43" s="68">
        <f t="shared" si="59"/>
        <v>17716</v>
      </c>
      <c r="Z43" s="68">
        <f t="shared" si="59"/>
        <v>29899</v>
      </c>
      <c r="AA43" s="68">
        <f>SUM(AA39:AA42)</f>
        <v>23975</v>
      </c>
      <c r="AB43" s="68">
        <f t="shared" ref="AB43:AG43" si="60">SUM(AB39:AB42)</f>
        <v>49713</v>
      </c>
      <c r="AC43" s="68">
        <f t="shared" si="60"/>
        <v>36353</v>
      </c>
      <c r="AD43" s="68">
        <f t="shared" si="60"/>
        <v>7434</v>
      </c>
      <c r="AE43" s="68">
        <f t="shared" si="60"/>
        <v>27162</v>
      </c>
      <c r="AF43" s="68">
        <f t="shared" si="60"/>
        <v>54072</v>
      </c>
      <c r="AG43" s="68">
        <f t="shared" si="60"/>
        <v>4945</v>
      </c>
      <c r="AH43" s="68">
        <f t="shared" ref="AH43:AI43" si="61">SUM(AH39:AH42)</f>
        <v>87</v>
      </c>
      <c r="AI43" s="68">
        <f t="shared" si="61"/>
        <v>48</v>
      </c>
      <c r="AJ43" s="68">
        <f t="shared" ref="AJ43" si="62">SUM(AJ39:AJ42)</f>
        <v>26484</v>
      </c>
    </row>
    <row r="44" spans="2:36" ht="12" customHeight="1" x14ac:dyDescent="0.2">
      <c r="B44" s="64" t="s">
        <v>157</v>
      </c>
      <c r="C44" s="65"/>
      <c r="D44" s="65"/>
      <c r="E44" s="65"/>
      <c r="F44" s="65"/>
      <c r="G44" s="65"/>
      <c r="H44" s="65"/>
      <c r="I44" s="66"/>
      <c r="J44" s="66"/>
      <c r="K44" s="65"/>
      <c r="L44" s="65"/>
      <c r="M44" s="65"/>
      <c r="N44" s="65"/>
      <c r="O44" s="65"/>
      <c r="P44" s="65"/>
      <c r="Q44" s="65"/>
      <c r="R44" s="65"/>
      <c r="S44" s="65"/>
      <c r="U44" s="65"/>
      <c r="V44" s="65"/>
      <c r="W44" s="65"/>
      <c r="X44" s="65"/>
      <c r="Y44" s="65"/>
      <c r="Z44" s="66"/>
      <c r="AA44" s="66"/>
      <c r="AB44" s="65"/>
      <c r="AC44" s="65"/>
      <c r="AD44" s="65"/>
      <c r="AE44" s="65"/>
      <c r="AF44" s="65"/>
      <c r="AG44" s="65"/>
      <c r="AH44" s="65"/>
      <c r="AI44" s="65"/>
      <c r="AJ44" s="65"/>
    </row>
    <row r="45" spans="2:36" ht="12" customHeight="1" x14ac:dyDescent="0.2">
      <c r="B45" s="51"/>
      <c r="C45" s="67" t="s">
        <v>158</v>
      </c>
      <c r="D45" s="52">
        <v>-4722</v>
      </c>
      <c r="E45" s="52">
        <v>-8966</v>
      </c>
      <c r="F45" s="52">
        <v>-11931</v>
      </c>
      <c r="G45" s="52">
        <v>-14205</v>
      </c>
      <c r="H45" s="52">
        <v>-3707</v>
      </c>
      <c r="I45" s="52">
        <v>-7782</v>
      </c>
      <c r="J45" s="52">
        <v>-10752</v>
      </c>
      <c r="K45" s="52">
        <v>-18665</v>
      </c>
      <c r="L45" s="52">
        <v>-3233</v>
      </c>
      <c r="M45" s="52">
        <v>-7971</v>
      </c>
      <c r="N45" s="52">
        <v>-12233</v>
      </c>
      <c r="O45" s="52">
        <v>-22147</v>
      </c>
      <c r="P45" s="52">
        <v>-6478</v>
      </c>
      <c r="Q45" s="52">
        <v>-12470</v>
      </c>
      <c r="R45" s="52">
        <v>-19247</v>
      </c>
      <c r="S45" s="52">
        <v>-22931</v>
      </c>
      <c r="U45" s="52">
        <v>-4722</v>
      </c>
      <c r="V45" s="52">
        <f t="shared" ref="V45:V62" si="63">E45-D45</f>
        <v>-4244</v>
      </c>
      <c r="W45" s="52">
        <f t="shared" ref="W45:W62" si="64">F45-E45</f>
        <v>-2965</v>
      </c>
      <c r="X45" s="52">
        <f t="shared" ref="X45:X62" si="65">G45-F45</f>
        <v>-2274</v>
      </c>
      <c r="Y45" s="52">
        <v>-3707</v>
      </c>
      <c r="Z45" s="52">
        <f t="shared" ref="Z45:Z62" si="66">I45-H45</f>
        <v>-4075</v>
      </c>
      <c r="AA45" s="52">
        <f t="shared" ref="AA45:AA62" si="67">J45-I45</f>
        <v>-2970</v>
      </c>
      <c r="AB45" s="52">
        <f t="shared" ref="AB45:AB62" si="68">K45-J45</f>
        <v>-7913</v>
      </c>
      <c r="AC45" s="52">
        <v>-3233</v>
      </c>
      <c r="AD45" s="52">
        <f t="shared" ref="AD45:AD62" si="69">M45-L45</f>
        <v>-4738</v>
      </c>
      <c r="AE45" s="52">
        <f t="shared" ref="AE45:AE62" si="70">N45-M45</f>
        <v>-4262</v>
      </c>
      <c r="AF45" s="52">
        <f t="shared" ref="AF45:AF62" si="71">O45-N45</f>
        <v>-9914</v>
      </c>
      <c r="AG45" s="52">
        <v>-6478</v>
      </c>
      <c r="AH45" s="52">
        <f t="shared" ref="AH45:AH62" si="72">Q45-P45</f>
        <v>-5992</v>
      </c>
      <c r="AI45" s="52">
        <f t="shared" ref="AI45:AI62" si="73">R45-Q45</f>
        <v>-6777</v>
      </c>
      <c r="AJ45" s="52">
        <f t="shared" ref="AJ45:AJ62" si="74">S45-R45</f>
        <v>-3684</v>
      </c>
    </row>
    <row r="46" spans="2:36" ht="12" customHeight="1" x14ac:dyDescent="0.2">
      <c r="B46" s="51"/>
      <c r="C46" s="67" t="s">
        <v>159</v>
      </c>
      <c r="D46" s="52">
        <v>0</v>
      </c>
      <c r="E46" s="52">
        <v>0</v>
      </c>
      <c r="F46" s="52">
        <v>0</v>
      </c>
      <c r="G46" s="52">
        <v>0</v>
      </c>
      <c r="H46" s="52"/>
      <c r="I46" s="52">
        <v>640</v>
      </c>
      <c r="J46" s="52">
        <v>640</v>
      </c>
      <c r="K46" s="52">
        <v>640</v>
      </c>
      <c r="L46" s="52">
        <v>0</v>
      </c>
      <c r="M46" s="52">
        <v>0</v>
      </c>
      <c r="N46" s="52">
        <v>0</v>
      </c>
      <c r="O46" s="52">
        <v>0</v>
      </c>
      <c r="P46" s="52">
        <v>0</v>
      </c>
      <c r="Q46" s="52">
        <v>0</v>
      </c>
      <c r="R46" s="52">
        <v>0</v>
      </c>
      <c r="S46" s="52">
        <v>0</v>
      </c>
      <c r="U46" s="52">
        <v>0</v>
      </c>
      <c r="V46" s="52">
        <f t="shared" si="63"/>
        <v>0</v>
      </c>
      <c r="W46" s="52">
        <f t="shared" si="64"/>
        <v>0</v>
      </c>
      <c r="X46" s="52">
        <f t="shared" si="65"/>
        <v>0</v>
      </c>
      <c r="Y46" s="52"/>
      <c r="Z46" s="52">
        <f t="shared" si="66"/>
        <v>640</v>
      </c>
      <c r="AA46" s="52">
        <f t="shared" si="67"/>
        <v>0</v>
      </c>
      <c r="AB46" s="52">
        <f t="shared" si="68"/>
        <v>0</v>
      </c>
      <c r="AC46" s="52">
        <v>0</v>
      </c>
      <c r="AD46" s="52">
        <f t="shared" si="69"/>
        <v>0</v>
      </c>
      <c r="AE46" s="52">
        <f t="shared" si="70"/>
        <v>0</v>
      </c>
      <c r="AF46" s="52">
        <f t="shared" si="71"/>
        <v>0</v>
      </c>
      <c r="AG46" s="52">
        <v>0</v>
      </c>
      <c r="AH46" s="52">
        <f t="shared" si="72"/>
        <v>0</v>
      </c>
      <c r="AI46" s="52">
        <f t="shared" si="73"/>
        <v>0</v>
      </c>
      <c r="AJ46" s="52">
        <f t="shared" si="74"/>
        <v>0</v>
      </c>
    </row>
    <row r="47" spans="2:36" ht="12" customHeight="1" x14ac:dyDescent="0.2">
      <c r="B47" s="51"/>
      <c r="C47" s="67" t="s">
        <v>160</v>
      </c>
      <c r="D47" s="52">
        <v>-6517</v>
      </c>
      <c r="E47" s="52">
        <v>-11609</v>
      </c>
      <c r="F47" s="52">
        <v>-18357</v>
      </c>
      <c r="G47" s="52">
        <v>-28887</v>
      </c>
      <c r="H47" s="52">
        <v>-9744</v>
      </c>
      <c r="I47" s="52">
        <v>-15823</v>
      </c>
      <c r="J47" s="52">
        <v>-25113</v>
      </c>
      <c r="K47" s="52">
        <v>-40714</v>
      </c>
      <c r="L47" s="52">
        <v>-8405</v>
      </c>
      <c r="M47" s="52">
        <v>-17340</v>
      </c>
      <c r="N47" s="52">
        <v>-32025</v>
      </c>
      <c r="O47" s="52">
        <v>-51029</v>
      </c>
      <c r="P47" s="52">
        <v>-13516</v>
      </c>
      <c r="Q47" s="52">
        <v>-29212</v>
      </c>
      <c r="R47" s="52">
        <v>-42374</v>
      </c>
      <c r="S47" s="52">
        <v>-68986</v>
      </c>
      <c r="U47" s="52">
        <v>-6517</v>
      </c>
      <c r="V47" s="52">
        <f t="shared" si="63"/>
        <v>-5092</v>
      </c>
      <c r="W47" s="52">
        <f t="shared" si="64"/>
        <v>-6748</v>
      </c>
      <c r="X47" s="52">
        <f t="shared" si="65"/>
        <v>-10530</v>
      </c>
      <c r="Y47" s="52">
        <v>-9744</v>
      </c>
      <c r="Z47" s="52">
        <f t="shared" si="66"/>
        <v>-6079</v>
      </c>
      <c r="AA47" s="52">
        <f t="shared" si="67"/>
        <v>-9290</v>
      </c>
      <c r="AB47" s="52">
        <f t="shared" si="68"/>
        <v>-15601</v>
      </c>
      <c r="AC47" s="52">
        <v>-8405</v>
      </c>
      <c r="AD47" s="52">
        <f t="shared" si="69"/>
        <v>-8935</v>
      </c>
      <c r="AE47" s="52">
        <f t="shared" si="70"/>
        <v>-14685</v>
      </c>
      <c r="AF47" s="52">
        <f t="shared" si="71"/>
        <v>-19004</v>
      </c>
      <c r="AG47" s="52">
        <v>-13516</v>
      </c>
      <c r="AH47" s="52">
        <f t="shared" si="72"/>
        <v>-15696</v>
      </c>
      <c r="AI47" s="52">
        <f t="shared" si="73"/>
        <v>-13162</v>
      </c>
      <c r="AJ47" s="52">
        <f t="shared" si="74"/>
        <v>-26612</v>
      </c>
    </row>
    <row r="48" spans="2:36" ht="12" customHeight="1" x14ac:dyDescent="0.2">
      <c r="B48" s="51"/>
      <c r="C48" s="67" t="s">
        <v>161</v>
      </c>
      <c r="D48" s="52">
        <v>1794</v>
      </c>
      <c r="E48" s="52">
        <v>3559</v>
      </c>
      <c r="F48" s="52">
        <v>4160</v>
      </c>
      <c r="G48" s="52">
        <v>6011</v>
      </c>
      <c r="H48" s="52">
        <v>177</v>
      </c>
      <c r="I48" s="52">
        <v>1242</v>
      </c>
      <c r="J48" s="52">
        <v>3313</v>
      </c>
      <c r="K48" s="52">
        <v>6054</v>
      </c>
      <c r="L48" s="52">
        <v>5191</v>
      </c>
      <c r="M48" s="52">
        <v>6576</v>
      </c>
      <c r="N48" s="52">
        <v>10646</v>
      </c>
      <c r="O48" s="52">
        <v>14444</v>
      </c>
      <c r="P48" s="52">
        <v>21036</v>
      </c>
      <c r="Q48" s="52">
        <v>33857</v>
      </c>
      <c r="R48" s="52">
        <v>34433</v>
      </c>
      <c r="S48" s="52">
        <v>35192</v>
      </c>
      <c r="U48" s="52">
        <v>1794</v>
      </c>
      <c r="V48" s="52">
        <f t="shared" si="63"/>
        <v>1765</v>
      </c>
      <c r="W48" s="52">
        <f t="shared" si="64"/>
        <v>601</v>
      </c>
      <c r="X48" s="52">
        <f t="shared" si="65"/>
        <v>1851</v>
      </c>
      <c r="Y48" s="52">
        <v>177</v>
      </c>
      <c r="Z48" s="52">
        <f t="shared" si="66"/>
        <v>1065</v>
      </c>
      <c r="AA48" s="52">
        <f t="shared" si="67"/>
        <v>2071</v>
      </c>
      <c r="AB48" s="52">
        <f t="shared" si="68"/>
        <v>2741</v>
      </c>
      <c r="AC48" s="52">
        <v>5191</v>
      </c>
      <c r="AD48" s="52">
        <f t="shared" si="69"/>
        <v>1385</v>
      </c>
      <c r="AE48" s="52">
        <f t="shared" si="70"/>
        <v>4070</v>
      </c>
      <c r="AF48" s="52">
        <f t="shared" si="71"/>
        <v>3798</v>
      </c>
      <c r="AG48" s="52">
        <v>21036</v>
      </c>
      <c r="AH48" s="52">
        <f t="shared" si="72"/>
        <v>12821</v>
      </c>
      <c r="AI48" s="52">
        <f t="shared" si="73"/>
        <v>576</v>
      </c>
      <c r="AJ48" s="52">
        <f t="shared" si="74"/>
        <v>759</v>
      </c>
    </row>
    <row r="49" spans="2:42" ht="12" customHeight="1" x14ac:dyDescent="0.2">
      <c r="B49" s="51"/>
      <c r="C49" s="67" t="s">
        <v>162</v>
      </c>
      <c r="D49" s="52"/>
      <c r="E49" s="52"/>
      <c r="F49" s="52">
        <v>-32</v>
      </c>
      <c r="G49" s="52">
        <v>0</v>
      </c>
      <c r="H49" s="52">
        <v>0</v>
      </c>
      <c r="I49" s="52">
        <v>0</v>
      </c>
      <c r="J49" s="52">
        <v>0</v>
      </c>
      <c r="K49" s="52">
        <v>0</v>
      </c>
      <c r="L49" s="52">
        <v>0</v>
      </c>
      <c r="M49" s="52">
        <v>0</v>
      </c>
      <c r="N49" s="52">
        <v>0</v>
      </c>
      <c r="O49" s="52">
        <v>0</v>
      </c>
      <c r="P49" s="52">
        <v>0</v>
      </c>
      <c r="Q49" s="52">
        <v>0</v>
      </c>
      <c r="R49" s="52">
        <v>0</v>
      </c>
      <c r="S49" s="52">
        <v>0</v>
      </c>
      <c r="U49" s="52"/>
      <c r="V49" s="52">
        <f t="shared" si="63"/>
        <v>0</v>
      </c>
      <c r="W49" s="52">
        <f t="shared" si="64"/>
        <v>-32</v>
      </c>
      <c r="X49" s="52">
        <f t="shared" si="65"/>
        <v>32</v>
      </c>
      <c r="Y49" s="52">
        <v>0</v>
      </c>
      <c r="Z49" s="52">
        <f t="shared" si="66"/>
        <v>0</v>
      </c>
      <c r="AA49" s="52">
        <f t="shared" si="67"/>
        <v>0</v>
      </c>
      <c r="AB49" s="52">
        <f t="shared" si="68"/>
        <v>0</v>
      </c>
      <c r="AC49" s="52">
        <v>0</v>
      </c>
      <c r="AD49" s="52">
        <f t="shared" si="69"/>
        <v>0</v>
      </c>
      <c r="AE49" s="52">
        <f t="shared" si="70"/>
        <v>0</v>
      </c>
      <c r="AF49" s="52">
        <f t="shared" si="71"/>
        <v>0</v>
      </c>
      <c r="AG49" s="52">
        <v>0</v>
      </c>
      <c r="AH49" s="52">
        <f t="shared" si="72"/>
        <v>0</v>
      </c>
      <c r="AI49" s="52">
        <f t="shared" si="73"/>
        <v>0</v>
      </c>
      <c r="AJ49" s="52">
        <f t="shared" si="74"/>
        <v>0</v>
      </c>
    </row>
    <row r="50" spans="2:42" ht="12" customHeight="1" x14ac:dyDescent="0.2">
      <c r="B50" s="51"/>
      <c r="C50" s="67" t="s">
        <v>163</v>
      </c>
      <c r="D50" s="52"/>
      <c r="E50" s="52">
        <v>-13</v>
      </c>
      <c r="F50" s="52"/>
      <c r="G50" s="52">
        <v>0</v>
      </c>
      <c r="H50" s="52"/>
      <c r="I50" s="52">
        <v>0</v>
      </c>
      <c r="J50" s="52"/>
      <c r="K50" s="52">
        <v>0</v>
      </c>
      <c r="L50" s="52"/>
      <c r="M50" s="52">
        <v>0</v>
      </c>
      <c r="N50" s="52"/>
      <c r="O50" s="52">
        <v>0</v>
      </c>
      <c r="P50" s="52"/>
      <c r="Q50" s="52">
        <v>0</v>
      </c>
      <c r="R50" s="52"/>
      <c r="S50" s="52">
        <v>0</v>
      </c>
      <c r="U50" s="52"/>
      <c r="V50" s="52">
        <f t="shared" si="63"/>
        <v>-13</v>
      </c>
      <c r="W50" s="52">
        <f t="shared" si="64"/>
        <v>13</v>
      </c>
      <c r="X50" s="52">
        <f t="shared" si="65"/>
        <v>0</v>
      </c>
      <c r="Y50" s="52"/>
      <c r="Z50" s="52">
        <f t="shared" si="66"/>
        <v>0</v>
      </c>
      <c r="AA50" s="52">
        <f t="shared" si="67"/>
        <v>0</v>
      </c>
      <c r="AB50" s="52">
        <f t="shared" si="68"/>
        <v>0</v>
      </c>
      <c r="AC50" s="52"/>
      <c r="AD50" s="52">
        <f t="shared" si="69"/>
        <v>0</v>
      </c>
      <c r="AE50" s="52">
        <f t="shared" si="70"/>
        <v>0</v>
      </c>
      <c r="AF50" s="52">
        <f t="shared" si="71"/>
        <v>0</v>
      </c>
      <c r="AG50" s="52"/>
      <c r="AH50" s="52">
        <f t="shared" si="72"/>
        <v>0</v>
      </c>
      <c r="AI50" s="52">
        <f t="shared" si="73"/>
        <v>0</v>
      </c>
      <c r="AJ50" s="52">
        <f t="shared" si="74"/>
        <v>0</v>
      </c>
    </row>
    <row r="51" spans="2:42" s="47" customFormat="1" ht="12" customHeight="1" x14ac:dyDescent="0.2">
      <c r="B51" s="51"/>
      <c r="C51" s="67" t="s">
        <v>164</v>
      </c>
      <c r="D51" s="52"/>
      <c r="E51" s="52">
        <v>0</v>
      </c>
      <c r="F51" s="52"/>
      <c r="G51" s="52">
        <v>0</v>
      </c>
      <c r="H51" s="52"/>
      <c r="I51" s="52">
        <v>0</v>
      </c>
      <c r="J51" s="52"/>
      <c r="K51" s="52">
        <v>0</v>
      </c>
      <c r="L51" s="52"/>
      <c r="M51" s="52">
        <v>0</v>
      </c>
      <c r="N51" s="52"/>
      <c r="O51" s="52">
        <v>0</v>
      </c>
      <c r="P51" s="52"/>
      <c r="Q51" s="52">
        <v>0</v>
      </c>
      <c r="R51" s="52"/>
      <c r="S51" s="52">
        <v>0</v>
      </c>
      <c r="U51" s="52"/>
      <c r="V51" s="52">
        <f t="shared" si="63"/>
        <v>0</v>
      </c>
      <c r="W51" s="52">
        <f t="shared" si="64"/>
        <v>0</v>
      </c>
      <c r="X51" s="52">
        <f t="shared" si="65"/>
        <v>0</v>
      </c>
      <c r="Y51" s="52"/>
      <c r="Z51" s="52">
        <f t="shared" si="66"/>
        <v>0</v>
      </c>
      <c r="AA51" s="52">
        <f t="shared" si="67"/>
        <v>0</v>
      </c>
      <c r="AB51" s="52">
        <f t="shared" si="68"/>
        <v>0</v>
      </c>
      <c r="AC51" s="52"/>
      <c r="AD51" s="52">
        <f t="shared" si="69"/>
        <v>0</v>
      </c>
      <c r="AE51" s="52">
        <f t="shared" si="70"/>
        <v>0</v>
      </c>
      <c r="AF51" s="52">
        <f t="shared" si="71"/>
        <v>0</v>
      </c>
      <c r="AG51" s="52"/>
      <c r="AH51" s="52">
        <f t="shared" si="72"/>
        <v>0</v>
      </c>
      <c r="AI51" s="52">
        <f t="shared" si="73"/>
        <v>0</v>
      </c>
      <c r="AJ51" s="52">
        <f t="shared" si="74"/>
        <v>0</v>
      </c>
      <c r="AK51" s="46"/>
      <c r="AL51" s="46"/>
      <c r="AM51" s="46"/>
      <c r="AN51" s="46"/>
      <c r="AO51" s="46"/>
      <c r="AP51" s="46"/>
    </row>
    <row r="52" spans="2:42" s="47" customFormat="1" ht="12" customHeight="1" x14ac:dyDescent="0.2">
      <c r="B52" s="51"/>
      <c r="C52" s="67" t="s">
        <v>165</v>
      </c>
      <c r="D52" s="52"/>
      <c r="E52" s="52">
        <v>0</v>
      </c>
      <c r="F52" s="52"/>
      <c r="G52" s="52">
        <v>0</v>
      </c>
      <c r="H52" s="52"/>
      <c r="I52" s="52">
        <v>0</v>
      </c>
      <c r="J52" s="52"/>
      <c r="K52" s="52">
        <v>0</v>
      </c>
      <c r="L52" s="52"/>
      <c r="M52" s="52">
        <v>0</v>
      </c>
      <c r="N52" s="52"/>
      <c r="O52" s="52">
        <v>0</v>
      </c>
      <c r="P52" s="52"/>
      <c r="Q52" s="52">
        <v>0</v>
      </c>
      <c r="R52" s="52"/>
      <c r="S52" s="52">
        <v>0</v>
      </c>
      <c r="U52" s="52"/>
      <c r="V52" s="52">
        <f t="shared" si="63"/>
        <v>0</v>
      </c>
      <c r="W52" s="52">
        <f t="shared" si="64"/>
        <v>0</v>
      </c>
      <c r="X52" s="52">
        <f t="shared" si="65"/>
        <v>0</v>
      </c>
      <c r="Y52" s="52"/>
      <c r="Z52" s="52">
        <f t="shared" si="66"/>
        <v>0</v>
      </c>
      <c r="AA52" s="52">
        <f t="shared" si="67"/>
        <v>0</v>
      </c>
      <c r="AB52" s="52">
        <f t="shared" si="68"/>
        <v>0</v>
      </c>
      <c r="AC52" s="52"/>
      <c r="AD52" s="52">
        <f t="shared" si="69"/>
        <v>0</v>
      </c>
      <c r="AE52" s="52">
        <f t="shared" si="70"/>
        <v>0</v>
      </c>
      <c r="AF52" s="52">
        <f t="shared" si="71"/>
        <v>0</v>
      </c>
      <c r="AG52" s="52"/>
      <c r="AH52" s="52">
        <f t="shared" si="72"/>
        <v>0</v>
      </c>
      <c r="AI52" s="52">
        <f t="shared" si="73"/>
        <v>0</v>
      </c>
      <c r="AJ52" s="52">
        <f t="shared" si="74"/>
        <v>0</v>
      </c>
      <c r="AL52" s="46"/>
      <c r="AM52" s="46"/>
      <c r="AN52" s="46"/>
      <c r="AO52" s="46"/>
      <c r="AP52" s="46"/>
    </row>
    <row r="53" spans="2:42" s="47" customFormat="1" ht="12" customHeight="1" x14ac:dyDescent="0.2">
      <c r="B53" s="51"/>
      <c r="C53" s="67" t="s">
        <v>166</v>
      </c>
      <c r="D53" s="52">
        <v>0</v>
      </c>
      <c r="E53" s="52">
        <v>0</v>
      </c>
      <c r="F53" s="52">
        <v>0</v>
      </c>
      <c r="G53" s="52">
        <v>0</v>
      </c>
      <c r="H53" s="52"/>
      <c r="I53" s="52">
        <v>0</v>
      </c>
      <c r="J53" s="52"/>
      <c r="K53" s="52">
        <v>0</v>
      </c>
      <c r="L53" s="52"/>
      <c r="M53" s="52">
        <v>0</v>
      </c>
      <c r="N53" s="52"/>
      <c r="O53" s="52">
        <v>0</v>
      </c>
      <c r="P53" s="52"/>
      <c r="Q53" s="52">
        <v>0</v>
      </c>
      <c r="R53" s="52"/>
      <c r="S53" s="52">
        <v>0</v>
      </c>
      <c r="U53" s="52">
        <v>0</v>
      </c>
      <c r="V53" s="52">
        <f t="shared" si="63"/>
        <v>0</v>
      </c>
      <c r="W53" s="52">
        <f t="shared" si="64"/>
        <v>0</v>
      </c>
      <c r="X53" s="52">
        <f t="shared" si="65"/>
        <v>0</v>
      </c>
      <c r="Y53" s="52"/>
      <c r="Z53" s="52">
        <f t="shared" si="66"/>
        <v>0</v>
      </c>
      <c r="AA53" s="52">
        <f t="shared" si="67"/>
        <v>0</v>
      </c>
      <c r="AB53" s="52">
        <f t="shared" si="68"/>
        <v>0</v>
      </c>
      <c r="AC53" s="52"/>
      <c r="AD53" s="52">
        <f t="shared" si="69"/>
        <v>0</v>
      </c>
      <c r="AE53" s="52">
        <f t="shared" si="70"/>
        <v>0</v>
      </c>
      <c r="AF53" s="52">
        <f t="shared" si="71"/>
        <v>0</v>
      </c>
      <c r="AG53" s="52"/>
      <c r="AH53" s="52">
        <f t="shared" si="72"/>
        <v>0</v>
      </c>
      <c r="AI53" s="52">
        <f t="shared" si="73"/>
        <v>0</v>
      </c>
      <c r="AJ53" s="52">
        <f t="shared" si="74"/>
        <v>0</v>
      </c>
      <c r="AL53" s="46"/>
      <c r="AN53" s="46"/>
      <c r="AO53" s="46"/>
      <c r="AP53" s="46"/>
    </row>
    <row r="54" spans="2:42" s="47" customFormat="1" ht="12" customHeight="1" x14ac:dyDescent="0.2">
      <c r="B54" s="51"/>
      <c r="C54" s="67" t="s">
        <v>167</v>
      </c>
      <c r="D54" s="52">
        <v>165</v>
      </c>
      <c r="E54" s="52">
        <v>216</v>
      </c>
      <c r="F54" s="52">
        <v>281</v>
      </c>
      <c r="G54" s="52">
        <v>281</v>
      </c>
      <c r="H54" s="52"/>
      <c r="I54" s="52">
        <v>0</v>
      </c>
      <c r="J54" s="52"/>
      <c r="K54" s="52">
        <v>0</v>
      </c>
      <c r="L54" s="52"/>
      <c r="M54" s="52">
        <v>0</v>
      </c>
      <c r="N54" s="52"/>
      <c r="O54" s="52">
        <v>0</v>
      </c>
      <c r="P54" s="52"/>
      <c r="Q54" s="52">
        <v>0</v>
      </c>
      <c r="R54" s="52"/>
      <c r="S54" s="52">
        <v>0</v>
      </c>
      <c r="U54" s="52">
        <v>165</v>
      </c>
      <c r="V54" s="52">
        <f t="shared" si="63"/>
        <v>51</v>
      </c>
      <c r="W54" s="52">
        <f t="shared" si="64"/>
        <v>65</v>
      </c>
      <c r="X54" s="52">
        <f t="shared" si="65"/>
        <v>0</v>
      </c>
      <c r="Y54" s="52"/>
      <c r="Z54" s="52">
        <f t="shared" si="66"/>
        <v>0</v>
      </c>
      <c r="AA54" s="52">
        <f t="shared" si="67"/>
        <v>0</v>
      </c>
      <c r="AB54" s="52">
        <f t="shared" si="68"/>
        <v>0</v>
      </c>
      <c r="AC54" s="52"/>
      <c r="AD54" s="52">
        <f t="shared" si="69"/>
        <v>0</v>
      </c>
      <c r="AE54" s="52">
        <f t="shared" si="70"/>
        <v>0</v>
      </c>
      <c r="AF54" s="52">
        <f t="shared" si="71"/>
        <v>0</v>
      </c>
      <c r="AG54" s="52"/>
      <c r="AH54" s="52">
        <f t="shared" si="72"/>
        <v>0</v>
      </c>
      <c r="AI54" s="52">
        <f t="shared" si="73"/>
        <v>0</v>
      </c>
      <c r="AJ54" s="52">
        <f t="shared" si="74"/>
        <v>0</v>
      </c>
      <c r="AL54" s="46"/>
      <c r="AN54" s="46"/>
      <c r="AO54" s="46"/>
      <c r="AP54" s="46"/>
    </row>
    <row r="55" spans="2:42" s="47" customFormat="1" ht="12" customHeight="1" x14ac:dyDescent="0.2">
      <c r="B55" s="51"/>
      <c r="C55" s="67" t="s">
        <v>168</v>
      </c>
      <c r="D55" s="52">
        <v>-4374</v>
      </c>
      <c r="E55" s="52">
        <v>-4374</v>
      </c>
      <c r="F55" s="52">
        <v>-8353</v>
      </c>
      <c r="G55" s="52">
        <v>-8353</v>
      </c>
      <c r="H55" s="52"/>
      <c r="I55" s="52">
        <v>0</v>
      </c>
      <c r="J55" s="52"/>
      <c r="K55" s="52">
        <v>0</v>
      </c>
      <c r="L55" s="52"/>
      <c r="M55" s="52">
        <v>0</v>
      </c>
      <c r="N55" s="52"/>
      <c r="O55" s="52">
        <v>-2705</v>
      </c>
      <c r="P55" s="52"/>
      <c r="Q55" s="52">
        <v>0</v>
      </c>
      <c r="R55" s="52">
        <v>-7127</v>
      </c>
      <c r="S55" s="52">
        <v>-7127</v>
      </c>
      <c r="U55" s="52">
        <v>-4374</v>
      </c>
      <c r="V55" s="52">
        <f t="shared" si="63"/>
        <v>0</v>
      </c>
      <c r="W55" s="52">
        <f t="shared" si="64"/>
        <v>-3979</v>
      </c>
      <c r="X55" s="52">
        <f t="shared" si="65"/>
        <v>0</v>
      </c>
      <c r="Y55" s="52"/>
      <c r="Z55" s="52">
        <f t="shared" si="66"/>
        <v>0</v>
      </c>
      <c r="AA55" s="52">
        <f t="shared" si="67"/>
        <v>0</v>
      </c>
      <c r="AB55" s="52">
        <f t="shared" si="68"/>
        <v>0</v>
      </c>
      <c r="AC55" s="52"/>
      <c r="AD55" s="52">
        <f t="shared" si="69"/>
        <v>0</v>
      </c>
      <c r="AE55" s="52">
        <f t="shared" si="70"/>
        <v>0</v>
      </c>
      <c r="AF55" s="52">
        <f t="shared" si="71"/>
        <v>-2705</v>
      </c>
      <c r="AG55" s="52"/>
      <c r="AH55" s="52">
        <f t="shared" si="72"/>
        <v>0</v>
      </c>
      <c r="AI55" s="52">
        <f t="shared" si="73"/>
        <v>-7127</v>
      </c>
      <c r="AJ55" s="52">
        <f t="shared" si="74"/>
        <v>0</v>
      </c>
      <c r="AL55" s="46"/>
      <c r="AN55" s="46"/>
      <c r="AO55" s="46"/>
      <c r="AP55" s="46"/>
    </row>
    <row r="56" spans="2:42" s="47" customFormat="1" ht="12" customHeight="1" x14ac:dyDescent="0.2">
      <c r="B56" s="51"/>
      <c r="C56" s="67" t="s">
        <v>169</v>
      </c>
      <c r="D56" s="52"/>
      <c r="E56" s="52">
        <v>0</v>
      </c>
      <c r="F56" s="52"/>
      <c r="G56" s="52">
        <v>0</v>
      </c>
      <c r="H56" s="52"/>
      <c r="I56" s="52">
        <v>0</v>
      </c>
      <c r="J56" s="52"/>
      <c r="K56" s="52">
        <v>0</v>
      </c>
      <c r="L56" s="52"/>
      <c r="M56" s="52">
        <v>0</v>
      </c>
      <c r="N56" s="52"/>
      <c r="O56" s="52">
        <v>1</v>
      </c>
      <c r="P56" s="52">
        <v>0</v>
      </c>
      <c r="Q56" s="52">
        <v>0</v>
      </c>
      <c r="R56" s="52">
        <v>0</v>
      </c>
      <c r="S56" s="52">
        <v>0</v>
      </c>
      <c r="U56" s="52"/>
      <c r="V56" s="52">
        <f t="shared" si="63"/>
        <v>0</v>
      </c>
      <c r="W56" s="52">
        <f t="shared" si="64"/>
        <v>0</v>
      </c>
      <c r="X56" s="52">
        <f t="shared" si="65"/>
        <v>0</v>
      </c>
      <c r="Y56" s="52"/>
      <c r="Z56" s="52">
        <f t="shared" si="66"/>
        <v>0</v>
      </c>
      <c r="AA56" s="52">
        <f t="shared" si="67"/>
        <v>0</v>
      </c>
      <c r="AB56" s="52">
        <f t="shared" si="68"/>
        <v>0</v>
      </c>
      <c r="AC56" s="52"/>
      <c r="AD56" s="52">
        <f t="shared" si="69"/>
        <v>0</v>
      </c>
      <c r="AE56" s="52">
        <f t="shared" si="70"/>
        <v>0</v>
      </c>
      <c r="AF56" s="52">
        <f t="shared" si="71"/>
        <v>1</v>
      </c>
      <c r="AG56" s="52">
        <v>0</v>
      </c>
      <c r="AH56" s="52">
        <f t="shared" si="72"/>
        <v>0</v>
      </c>
      <c r="AI56" s="52">
        <f t="shared" si="73"/>
        <v>0</v>
      </c>
      <c r="AJ56" s="52">
        <f t="shared" si="74"/>
        <v>0</v>
      </c>
      <c r="AL56" s="46"/>
      <c r="AN56" s="46"/>
      <c r="AO56" s="46"/>
      <c r="AP56" s="46"/>
    </row>
    <row r="57" spans="2:42" s="47" customFormat="1" ht="12" customHeight="1" x14ac:dyDescent="0.2">
      <c r="B57" s="51"/>
      <c r="C57" s="67" t="s">
        <v>193</v>
      </c>
      <c r="D57" s="52"/>
      <c r="E57" s="52">
        <v>0</v>
      </c>
      <c r="F57" s="52"/>
      <c r="G57" s="52">
        <v>0</v>
      </c>
      <c r="H57" s="52"/>
      <c r="I57" s="52">
        <v>0</v>
      </c>
      <c r="J57" s="52"/>
      <c r="K57" s="52">
        <v>0</v>
      </c>
      <c r="L57" s="52"/>
      <c r="M57" s="52">
        <v>0</v>
      </c>
      <c r="N57" s="52"/>
      <c r="O57" s="52">
        <v>0</v>
      </c>
      <c r="P57" s="52"/>
      <c r="Q57" s="52">
        <v>0</v>
      </c>
      <c r="R57" s="52"/>
      <c r="S57" s="52">
        <v>0</v>
      </c>
      <c r="U57" s="52"/>
      <c r="V57" s="52">
        <f t="shared" si="63"/>
        <v>0</v>
      </c>
      <c r="W57" s="52">
        <f t="shared" si="64"/>
        <v>0</v>
      </c>
      <c r="X57" s="52">
        <f t="shared" si="65"/>
        <v>0</v>
      </c>
      <c r="Y57" s="52"/>
      <c r="Z57" s="52">
        <f t="shared" si="66"/>
        <v>0</v>
      </c>
      <c r="AA57" s="52">
        <f t="shared" si="67"/>
        <v>0</v>
      </c>
      <c r="AB57" s="52">
        <f t="shared" si="68"/>
        <v>0</v>
      </c>
      <c r="AC57" s="52"/>
      <c r="AD57" s="52">
        <f t="shared" si="69"/>
        <v>0</v>
      </c>
      <c r="AE57" s="52">
        <f t="shared" si="70"/>
        <v>0</v>
      </c>
      <c r="AF57" s="52">
        <f t="shared" si="71"/>
        <v>0</v>
      </c>
      <c r="AG57" s="52"/>
      <c r="AH57" s="52">
        <f t="shared" si="72"/>
        <v>0</v>
      </c>
      <c r="AI57" s="52">
        <f t="shared" si="73"/>
        <v>0</v>
      </c>
      <c r="AJ57" s="52">
        <f t="shared" si="74"/>
        <v>0</v>
      </c>
      <c r="AL57" s="46"/>
      <c r="AN57" s="46"/>
      <c r="AO57" s="46"/>
      <c r="AP57" s="46"/>
    </row>
    <row r="58" spans="2:42" s="47" customFormat="1" ht="12" customHeight="1" x14ac:dyDescent="0.2">
      <c r="B58" s="51"/>
      <c r="C58" s="67" t="s">
        <v>170</v>
      </c>
      <c r="D58" s="52"/>
      <c r="E58" s="52">
        <v>-120</v>
      </c>
      <c r="F58" s="52">
        <v>-40</v>
      </c>
      <c r="G58" s="52">
        <v>-50</v>
      </c>
      <c r="H58" s="52"/>
      <c r="I58" s="52">
        <v>0</v>
      </c>
      <c r="J58" s="52"/>
      <c r="K58" s="52">
        <v>0</v>
      </c>
      <c r="L58" s="52"/>
      <c r="M58" s="52">
        <v>0</v>
      </c>
      <c r="N58" s="52"/>
      <c r="O58" s="52">
        <v>0</v>
      </c>
      <c r="P58" s="52"/>
      <c r="Q58" s="52">
        <v>0</v>
      </c>
      <c r="R58" s="52"/>
      <c r="S58" s="52">
        <v>-2000</v>
      </c>
      <c r="U58" s="52"/>
      <c r="V58" s="52">
        <f t="shared" si="63"/>
        <v>-120</v>
      </c>
      <c r="W58" s="52">
        <f t="shared" si="64"/>
        <v>80</v>
      </c>
      <c r="X58" s="52">
        <f t="shared" si="65"/>
        <v>-10</v>
      </c>
      <c r="Y58" s="52"/>
      <c r="Z58" s="52">
        <f t="shared" si="66"/>
        <v>0</v>
      </c>
      <c r="AA58" s="52">
        <f t="shared" si="67"/>
        <v>0</v>
      </c>
      <c r="AB58" s="52">
        <f t="shared" si="68"/>
        <v>0</v>
      </c>
      <c r="AC58" s="52"/>
      <c r="AD58" s="52">
        <f t="shared" si="69"/>
        <v>0</v>
      </c>
      <c r="AE58" s="52">
        <f t="shared" si="70"/>
        <v>0</v>
      </c>
      <c r="AF58" s="52">
        <f t="shared" si="71"/>
        <v>0</v>
      </c>
      <c r="AG58" s="52"/>
      <c r="AH58" s="52">
        <f t="shared" si="72"/>
        <v>0</v>
      </c>
      <c r="AI58" s="52">
        <f t="shared" si="73"/>
        <v>0</v>
      </c>
      <c r="AJ58" s="52">
        <f t="shared" si="74"/>
        <v>-2000</v>
      </c>
      <c r="AL58" s="46"/>
      <c r="AN58" s="46"/>
      <c r="AO58" s="46"/>
      <c r="AP58" s="46"/>
    </row>
    <row r="59" spans="2:42" s="47" customFormat="1" ht="12" customHeight="1" x14ac:dyDescent="0.2">
      <c r="B59" s="51"/>
      <c r="C59" s="67" t="s">
        <v>171</v>
      </c>
      <c r="D59" s="52"/>
      <c r="E59" s="52"/>
      <c r="F59" s="52">
        <v>0</v>
      </c>
      <c r="G59" s="52">
        <v>0</v>
      </c>
      <c r="H59" s="52"/>
      <c r="I59" s="52">
        <v>0</v>
      </c>
      <c r="J59" s="52">
        <v>50</v>
      </c>
      <c r="K59" s="52">
        <v>50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>
        <v>2000</v>
      </c>
      <c r="U59" s="52"/>
      <c r="V59" s="52">
        <f t="shared" si="63"/>
        <v>0</v>
      </c>
      <c r="W59" s="52">
        <f t="shared" si="64"/>
        <v>0</v>
      </c>
      <c r="X59" s="52">
        <f t="shared" si="65"/>
        <v>0</v>
      </c>
      <c r="Y59" s="52"/>
      <c r="Z59" s="52">
        <f t="shared" si="66"/>
        <v>0</v>
      </c>
      <c r="AA59" s="52">
        <f t="shared" si="67"/>
        <v>50</v>
      </c>
      <c r="AB59" s="52">
        <f t="shared" si="68"/>
        <v>0</v>
      </c>
      <c r="AC59" s="52">
        <v>0</v>
      </c>
      <c r="AD59" s="52">
        <f t="shared" si="69"/>
        <v>0</v>
      </c>
      <c r="AE59" s="52">
        <f t="shared" si="70"/>
        <v>0</v>
      </c>
      <c r="AF59" s="52">
        <f t="shared" si="71"/>
        <v>0</v>
      </c>
      <c r="AG59" s="52">
        <v>0</v>
      </c>
      <c r="AH59" s="52">
        <f t="shared" si="72"/>
        <v>0</v>
      </c>
      <c r="AI59" s="52">
        <f t="shared" si="73"/>
        <v>0</v>
      </c>
      <c r="AJ59" s="52">
        <f t="shared" si="74"/>
        <v>2000</v>
      </c>
      <c r="AL59" s="46"/>
      <c r="AN59" s="46"/>
      <c r="AO59" s="46"/>
      <c r="AP59" s="46"/>
    </row>
    <row r="60" spans="2:42" s="47" customFormat="1" ht="12" customHeight="1" x14ac:dyDescent="0.2">
      <c r="B60" s="51"/>
      <c r="C60" s="67" t="s">
        <v>172</v>
      </c>
      <c r="D60" s="52">
        <v>0</v>
      </c>
      <c r="E60" s="52">
        <v>71</v>
      </c>
      <c r="F60" s="52">
        <v>71</v>
      </c>
      <c r="G60" s="52">
        <v>0</v>
      </c>
      <c r="H60" s="52"/>
      <c r="I60" s="52">
        <v>0</v>
      </c>
      <c r="J60" s="52">
        <v>2</v>
      </c>
      <c r="K60" s="52">
        <v>3</v>
      </c>
      <c r="L60" s="52">
        <v>0</v>
      </c>
      <c r="M60" s="52">
        <v>0</v>
      </c>
      <c r="N60" s="52">
        <v>1</v>
      </c>
      <c r="O60" s="52">
        <v>0</v>
      </c>
      <c r="P60" s="52">
        <v>0</v>
      </c>
      <c r="Q60" s="52">
        <v>0</v>
      </c>
      <c r="R60" s="52">
        <v>0</v>
      </c>
      <c r="S60" s="52">
        <v>50</v>
      </c>
      <c r="U60" s="52">
        <v>0</v>
      </c>
      <c r="V60" s="52">
        <f t="shared" si="63"/>
        <v>71</v>
      </c>
      <c r="W60" s="52">
        <f t="shared" si="64"/>
        <v>0</v>
      </c>
      <c r="X60" s="52">
        <f t="shared" si="65"/>
        <v>-71</v>
      </c>
      <c r="Y60" s="52"/>
      <c r="Z60" s="52">
        <f t="shared" si="66"/>
        <v>0</v>
      </c>
      <c r="AA60" s="52">
        <f t="shared" si="67"/>
        <v>2</v>
      </c>
      <c r="AB60" s="52">
        <f t="shared" si="68"/>
        <v>1</v>
      </c>
      <c r="AC60" s="52">
        <v>0</v>
      </c>
      <c r="AD60" s="52">
        <f t="shared" si="69"/>
        <v>0</v>
      </c>
      <c r="AE60" s="52">
        <f t="shared" si="70"/>
        <v>1</v>
      </c>
      <c r="AF60" s="52">
        <f t="shared" si="71"/>
        <v>-1</v>
      </c>
      <c r="AG60" s="52">
        <v>0</v>
      </c>
      <c r="AH60" s="52">
        <f t="shared" si="72"/>
        <v>0</v>
      </c>
      <c r="AI60" s="52">
        <f t="shared" si="73"/>
        <v>0</v>
      </c>
      <c r="AJ60" s="52">
        <f t="shared" si="74"/>
        <v>50</v>
      </c>
      <c r="AL60" s="46"/>
      <c r="AN60" s="46"/>
      <c r="AO60" s="46"/>
      <c r="AP60" s="46"/>
    </row>
    <row r="61" spans="2:42" s="47" customFormat="1" ht="12" customHeight="1" x14ac:dyDescent="0.2">
      <c r="B61" s="51"/>
      <c r="C61" s="67" t="s">
        <v>173</v>
      </c>
      <c r="D61" s="52">
        <v>1025</v>
      </c>
      <c r="E61" s="52">
        <v>1021</v>
      </c>
      <c r="F61" s="52">
        <v>1021</v>
      </c>
      <c r="G61" s="52">
        <v>1021</v>
      </c>
      <c r="H61" s="52"/>
      <c r="I61" s="52">
        <v>1332</v>
      </c>
      <c r="J61" s="52">
        <v>1332</v>
      </c>
      <c r="K61" s="52">
        <v>1332</v>
      </c>
      <c r="L61" s="52">
        <v>0</v>
      </c>
      <c r="M61" s="52">
        <v>0</v>
      </c>
      <c r="N61" s="52">
        <v>941</v>
      </c>
      <c r="O61" s="52">
        <v>1237</v>
      </c>
      <c r="P61" s="52">
        <v>0</v>
      </c>
      <c r="Q61" s="52">
        <v>396</v>
      </c>
      <c r="R61" s="52">
        <v>1109</v>
      </c>
      <c r="S61" s="52">
        <v>1109</v>
      </c>
      <c r="U61" s="52">
        <v>1025</v>
      </c>
      <c r="V61" s="52">
        <f t="shared" si="63"/>
        <v>-4</v>
      </c>
      <c r="W61" s="52">
        <f t="shared" si="64"/>
        <v>0</v>
      </c>
      <c r="X61" s="52">
        <f t="shared" si="65"/>
        <v>0</v>
      </c>
      <c r="Y61" s="52"/>
      <c r="Z61" s="52">
        <f t="shared" si="66"/>
        <v>1332</v>
      </c>
      <c r="AA61" s="52">
        <f t="shared" si="67"/>
        <v>0</v>
      </c>
      <c r="AB61" s="52">
        <f t="shared" si="68"/>
        <v>0</v>
      </c>
      <c r="AC61" s="52">
        <v>0</v>
      </c>
      <c r="AD61" s="52">
        <f t="shared" si="69"/>
        <v>0</v>
      </c>
      <c r="AE61" s="52">
        <f t="shared" si="70"/>
        <v>941</v>
      </c>
      <c r="AF61" s="52">
        <f t="shared" si="71"/>
        <v>296</v>
      </c>
      <c r="AG61" s="52">
        <v>0</v>
      </c>
      <c r="AH61" s="52">
        <f t="shared" si="72"/>
        <v>396</v>
      </c>
      <c r="AI61" s="52">
        <f t="shared" si="73"/>
        <v>713</v>
      </c>
      <c r="AJ61" s="52">
        <f t="shared" si="74"/>
        <v>0</v>
      </c>
      <c r="AL61" s="46"/>
      <c r="AN61" s="46"/>
      <c r="AO61" s="46"/>
      <c r="AP61" s="46"/>
    </row>
    <row r="62" spans="2:42" s="47" customFormat="1" ht="12" customHeight="1" x14ac:dyDescent="0.2">
      <c r="B62" s="51"/>
      <c r="C62" s="67" t="s">
        <v>174</v>
      </c>
      <c r="D62" s="52">
        <v>-1877</v>
      </c>
      <c r="E62" s="52">
        <v>-2454</v>
      </c>
      <c r="F62" s="52">
        <v>-1580</v>
      </c>
      <c r="G62" s="52">
        <v>-950</v>
      </c>
      <c r="H62" s="52">
        <v>17</v>
      </c>
      <c r="I62" s="52">
        <v>354</v>
      </c>
      <c r="J62" s="52">
        <v>819</v>
      </c>
      <c r="K62" s="52">
        <v>-701</v>
      </c>
      <c r="L62" s="52">
        <v>-1184</v>
      </c>
      <c r="M62" s="52">
        <v>-1257</v>
      </c>
      <c r="N62" s="52">
        <v>-5536</v>
      </c>
      <c r="O62" s="52">
        <v>298</v>
      </c>
      <c r="P62" s="52">
        <v>-958</v>
      </c>
      <c r="Q62" s="52">
        <v>-3212</v>
      </c>
      <c r="R62" s="52">
        <v>-1986</v>
      </c>
      <c r="S62" s="52">
        <v>-3776</v>
      </c>
      <c r="U62" s="52">
        <v>-1877</v>
      </c>
      <c r="V62" s="52">
        <f t="shared" si="63"/>
        <v>-577</v>
      </c>
      <c r="W62" s="52">
        <f t="shared" si="64"/>
        <v>874</v>
      </c>
      <c r="X62" s="52">
        <f t="shared" si="65"/>
        <v>630</v>
      </c>
      <c r="Y62" s="52">
        <v>17</v>
      </c>
      <c r="Z62" s="52">
        <f t="shared" si="66"/>
        <v>337</v>
      </c>
      <c r="AA62" s="52">
        <f t="shared" si="67"/>
        <v>465</v>
      </c>
      <c r="AB62" s="52">
        <f t="shared" si="68"/>
        <v>-1520</v>
      </c>
      <c r="AC62" s="52">
        <v>-1184</v>
      </c>
      <c r="AD62" s="52">
        <f t="shared" si="69"/>
        <v>-73</v>
      </c>
      <c r="AE62" s="52">
        <f t="shared" si="70"/>
        <v>-4279</v>
      </c>
      <c r="AF62" s="52">
        <f t="shared" si="71"/>
        <v>5834</v>
      </c>
      <c r="AG62" s="52">
        <v>-958</v>
      </c>
      <c r="AH62" s="52">
        <f t="shared" si="72"/>
        <v>-2254</v>
      </c>
      <c r="AI62" s="52">
        <f t="shared" si="73"/>
        <v>1226</v>
      </c>
      <c r="AJ62" s="52">
        <f t="shared" si="74"/>
        <v>-1790</v>
      </c>
      <c r="AL62" s="46"/>
      <c r="AN62" s="46"/>
      <c r="AO62" s="46"/>
      <c r="AP62" s="46"/>
    </row>
    <row r="63" spans="2:42" ht="12" customHeight="1" x14ac:dyDescent="0.2">
      <c r="B63" s="222" t="s">
        <v>175</v>
      </c>
      <c r="C63" s="223"/>
      <c r="D63" s="68">
        <f t="shared" ref="D63:I63" si="75">SUM(D45:D62)</f>
        <v>-14506</v>
      </c>
      <c r="E63" s="68">
        <f t="shared" si="75"/>
        <v>-22669</v>
      </c>
      <c r="F63" s="68">
        <f t="shared" si="75"/>
        <v>-34760</v>
      </c>
      <c r="G63" s="68">
        <f t="shared" si="75"/>
        <v>-45132</v>
      </c>
      <c r="H63" s="68">
        <f t="shared" si="75"/>
        <v>-13257</v>
      </c>
      <c r="I63" s="68">
        <f t="shared" si="75"/>
        <v>-20037</v>
      </c>
      <c r="J63" s="68">
        <f>SUM(J45:J62)</f>
        <v>-29709</v>
      </c>
      <c r="K63" s="68">
        <f t="shared" ref="K63:R63" si="76">SUM(K45:K62)</f>
        <v>-52001</v>
      </c>
      <c r="L63" s="68">
        <f t="shared" si="76"/>
        <v>-7631</v>
      </c>
      <c r="M63" s="68">
        <f t="shared" si="76"/>
        <v>-19992</v>
      </c>
      <c r="N63" s="68">
        <f t="shared" si="76"/>
        <v>-38206</v>
      </c>
      <c r="O63" s="68">
        <f t="shared" si="76"/>
        <v>-59901</v>
      </c>
      <c r="P63" s="68">
        <f t="shared" si="76"/>
        <v>84</v>
      </c>
      <c r="Q63" s="68">
        <f t="shared" si="76"/>
        <v>-10641</v>
      </c>
      <c r="R63" s="68">
        <f t="shared" si="76"/>
        <v>-35192</v>
      </c>
      <c r="S63" s="68">
        <f t="shared" ref="S63" si="77">SUM(S45:S62)</f>
        <v>-66469</v>
      </c>
      <c r="U63" s="68">
        <f t="shared" ref="U63:Z63" si="78">SUM(U45:U62)</f>
        <v>-14506</v>
      </c>
      <c r="V63" s="68">
        <f t="shared" si="78"/>
        <v>-8163</v>
      </c>
      <c r="W63" s="68">
        <f t="shared" si="78"/>
        <v>-12091</v>
      </c>
      <c r="X63" s="68">
        <f t="shared" si="78"/>
        <v>-10372</v>
      </c>
      <c r="Y63" s="68">
        <f t="shared" si="78"/>
        <v>-13257</v>
      </c>
      <c r="Z63" s="68">
        <f t="shared" si="78"/>
        <v>-6780</v>
      </c>
      <c r="AA63" s="68">
        <f>SUM(AA45:AA62)</f>
        <v>-9672</v>
      </c>
      <c r="AB63" s="68">
        <f t="shared" ref="AB63:AG63" si="79">SUM(AB45:AB62)</f>
        <v>-22292</v>
      </c>
      <c r="AC63" s="68">
        <f t="shared" si="79"/>
        <v>-7631</v>
      </c>
      <c r="AD63" s="68">
        <f t="shared" si="79"/>
        <v>-12361</v>
      </c>
      <c r="AE63" s="68">
        <f t="shared" si="79"/>
        <v>-18214</v>
      </c>
      <c r="AF63" s="68">
        <f t="shared" si="79"/>
        <v>-21695</v>
      </c>
      <c r="AG63" s="68">
        <f t="shared" si="79"/>
        <v>84</v>
      </c>
      <c r="AH63" s="68">
        <f t="shared" ref="AH63:AI63" si="80">SUM(AH45:AH62)</f>
        <v>-10725</v>
      </c>
      <c r="AI63" s="68">
        <f t="shared" si="80"/>
        <v>-24551</v>
      </c>
      <c r="AJ63" s="68">
        <f t="shared" ref="AJ63" si="81">SUM(AJ45:AJ62)</f>
        <v>-31277</v>
      </c>
      <c r="AK63" s="47"/>
      <c r="AL63" s="47"/>
    </row>
    <row r="64" spans="2:42" s="47" customFormat="1" ht="12" customHeight="1" x14ac:dyDescent="0.2">
      <c r="B64" s="64" t="s">
        <v>176</v>
      </c>
      <c r="C64" s="65"/>
      <c r="D64" s="65"/>
      <c r="E64" s="65"/>
      <c r="F64" s="65"/>
      <c r="G64" s="65"/>
      <c r="H64" s="65"/>
      <c r="I64" s="66"/>
      <c r="J64" s="66"/>
      <c r="K64" s="65"/>
      <c r="L64" s="65"/>
      <c r="M64" s="65"/>
      <c r="N64" s="65"/>
      <c r="O64" s="65"/>
      <c r="P64" s="65"/>
      <c r="Q64" s="65"/>
      <c r="R64" s="65"/>
      <c r="S64" s="65"/>
      <c r="U64" s="65"/>
      <c r="V64" s="65"/>
      <c r="W64" s="65"/>
      <c r="X64" s="65"/>
      <c r="Y64" s="65"/>
      <c r="Z64" s="66"/>
      <c r="AA64" s="66"/>
      <c r="AB64" s="65"/>
      <c r="AC64" s="65"/>
      <c r="AD64" s="65"/>
      <c r="AE64" s="65"/>
      <c r="AF64" s="65"/>
      <c r="AG64" s="65"/>
      <c r="AH64" s="65"/>
      <c r="AI64" s="65"/>
      <c r="AJ64" s="65"/>
      <c r="AK64" s="46"/>
      <c r="AM64" s="46"/>
      <c r="AN64" s="46"/>
      <c r="AO64" s="46"/>
      <c r="AP64" s="46"/>
    </row>
    <row r="65" spans="2:42" s="47" customFormat="1" ht="12" customHeight="1" x14ac:dyDescent="0.2">
      <c r="B65" s="51"/>
      <c r="C65" s="67" t="s">
        <v>177</v>
      </c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2">
        <v>0</v>
      </c>
      <c r="M65" s="52">
        <v>0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>
        <v>0</v>
      </c>
      <c r="U65" s="52">
        <v>0</v>
      </c>
      <c r="V65" s="52">
        <f t="shared" ref="V65:V75" si="82">E65-D65</f>
        <v>0</v>
      </c>
      <c r="W65" s="52">
        <f t="shared" ref="W65:W75" si="83">F65-E65</f>
        <v>0</v>
      </c>
      <c r="X65" s="52">
        <f t="shared" ref="X65:X75" si="84">G65-F65</f>
        <v>0</v>
      </c>
      <c r="Y65" s="52">
        <v>0</v>
      </c>
      <c r="Z65" s="52">
        <f t="shared" ref="Z65:Z75" si="85">I65-H65</f>
        <v>0</v>
      </c>
      <c r="AA65" s="52">
        <f t="shared" ref="AA65:AA75" si="86">J65-I65</f>
        <v>0</v>
      </c>
      <c r="AB65" s="52">
        <f t="shared" ref="AB65:AB75" si="87">K65-J65</f>
        <v>0</v>
      </c>
      <c r="AC65" s="52">
        <v>0</v>
      </c>
      <c r="AD65" s="52">
        <f t="shared" ref="AD65:AD75" si="88">M65-L65</f>
        <v>0</v>
      </c>
      <c r="AE65" s="52">
        <f t="shared" ref="AE65:AE75" si="89">N65-M65</f>
        <v>0</v>
      </c>
      <c r="AF65" s="52">
        <f t="shared" ref="AF65:AF75" si="90">O65-N65</f>
        <v>0</v>
      </c>
      <c r="AG65" s="52">
        <v>0</v>
      </c>
      <c r="AH65" s="52">
        <f t="shared" ref="AH65:AH75" si="91">Q65-P65</f>
        <v>0</v>
      </c>
      <c r="AI65" s="52">
        <f t="shared" ref="AI65:AI75" si="92">R65-Q65</f>
        <v>0</v>
      </c>
      <c r="AJ65" s="52">
        <f t="shared" ref="AJ65:AJ75" si="93">S65-R65</f>
        <v>0</v>
      </c>
      <c r="AL65" s="46"/>
      <c r="AM65" s="46"/>
      <c r="AN65" s="46"/>
      <c r="AO65" s="46"/>
      <c r="AP65" s="46"/>
    </row>
    <row r="66" spans="2:42" s="47" customFormat="1" ht="12" customHeight="1" x14ac:dyDescent="0.2">
      <c r="B66" s="51"/>
      <c r="C66" s="67" t="s">
        <v>178</v>
      </c>
      <c r="D66" s="52">
        <v>0</v>
      </c>
      <c r="E66" s="52">
        <v>-271</v>
      </c>
      <c r="F66" s="52">
        <v>-3089</v>
      </c>
      <c r="G66" s="52">
        <v>-4749</v>
      </c>
      <c r="H66" s="52">
        <v>-1299</v>
      </c>
      <c r="I66" s="52">
        <v>-1520</v>
      </c>
      <c r="J66" s="52">
        <v>-2250</v>
      </c>
      <c r="K66" s="52">
        <v>-2550</v>
      </c>
      <c r="L66" s="52">
        <v>-180</v>
      </c>
      <c r="M66" s="52">
        <v>-180</v>
      </c>
      <c r="N66" s="52">
        <v>-259</v>
      </c>
      <c r="O66" s="52">
        <v>-479</v>
      </c>
      <c r="P66" s="52">
        <v>-239</v>
      </c>
      <c r="Q66" s="52">
        <v>-361</v>
      </c>
      <c r="R66" s="52">
        <v>-361</v>
      </c>
      <c r="S66" s="52">
        <v>-810</v>
      </c>
      <c r="U66" s="52">
        <v>0</v>
      </c>
      <c r="V66" s="52">
        <f t="shared" si="82"/>
        <v>-271</v>
      </c>
      <c r="W66" s="52">
        <f t="shared" si="83"/>
        <v>-2818</v>
      </c>
      <c r="X66" s="52">
        <f t="shared" si="84"/>
        <v>-1660</v>
      </c>
      <c r="Y66" s="52">
        <v>-1299</v>
      </c>
      <c r="Z66" s="52">
        <f t="shared" si="85"/>
        <v>-221</v>
      </c>
      <c r="AA66" s="52">
        <f t="shared" si="86"/>
        <v>-730</v>
      </c>
      <c r="AB66" s="52">
        <f t="shared" si="87"/>
        <v>-300</v>
      </c>
      <c r="AC66" s="52">
        <v>-180</v>
      </c>
      <c r="AD66" s="52">
        <f t="shared" si="88"/>
        <v>0</v>
      </c>
      <c r="AE66" s="52">
        <f t="shared" si="89"/>
        <v>-79</v>
      </c>
      <c r="AF66" s="52">
        <f t="shared" si="90"/>
        <v>-220</v>
      </c>
      <c r="AG66" s="52">
        <v>-239</v>
      </c>
      <c r="AH66" s="52">
        <f t="shared" si="91"/>
        <v>-122</v>
      </c>
      <c r="AI66" s="52">
        <f t="shared" si="92"/>
        <v>0</v>
      </c>
      <c r="AJ66" s="52">
        <f t="shared" si="93"/>
        <v>-449</v>
      </c>
      <c r="AL66" s="46"/>
      <c r="AN66" s="46"/>
      <c r="AO66" s="46"/>
      <c r="AP66" s="46"/>
    </row>
    <row r="67" spans="2:42" ht="12" customHeight="1" x14ac:dyDescent="0.2">
      <c r="B67" s="51"/>
      <c r="C67" s="67" t="s">
        <v>179</v>
      </c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U67" s="52">
        <v>0</v>
      </c>
      <c r="V67" s="52">
        <f t="shared" si="82"/>
        <v>0</v>
      </c>
      <c r="W67" s="52">
        <f t="shared" si="83"/>
        <v>0</v>
      </c>
      <c r="X67" s="52">
        <f t="shared" si="84"/>
        <v>0</v>
      </c>
      <c r="Y67" s="52">
        <v>0</v>
      </c>
      <c r="Z67" s="52">
        <f t="shared" si="85"/>
        <v>0</v>
      </c>
      <c r="AA67" s="52">
        <f t="shared" si="86"/>
        <v>0</v>
      </c>
      <c r="AB67" s="52">
        <f t="shared" si="87"/>
        <v>0</v>
      </c>
      <c r="AC67" s="52">
        <v>0</v>
      </c>
      <c r="AD67" s="52">
        <f t="shared" si="88"/>
        <v>0</v>
      </c>
      <c r="AE67" s="52">
        <f t="shared" si="89"/>
        <v>0</v>
      </c>
      <c r="AF67" s="52">
        <f t="shared" si="90"/>
        <v>0</v>
      </c>
      <c r="AG67" s="52">
        <v>0</v>
      </c>
      <c r="AH67" s="52">
        <f t="shared" si="91"/>
        <v>0</v>
      </c>
      <c r="AI67" s="52">
        <f t="shared" si="92"/>
        <v>0</v>
      </c>
      <c r="AJ67" s="52">
        <f t="shared" si="93"/>
        <v>0</v>
      </c>
      <c r="AK67" s="47"/>
      <c r="AM67" s="47"/>
    </row>
    <row r="68" spans="2:42" ht="12" customHeight="1" x14ac:dyDescent="0.2">
      <c r="B68" s="51"/>
      <c r="C68" s="67" t="s">
        <v>180</v>
      </c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U68" s="52">
        <v>0</v>
      </c>
      <c r="V68" s="52">
        <f t="shared" si="82"/>
        <v>0</v>
      </c>
      <c r="W68" s="52">
        <f t="shared" si="83"/>
        <v>0</v>
      </c>
      <c r="X68" s="52">
        <f t="shared" si="84"/>
        <v>0</v>
      </c>
      <c r="Y68" s="52">
        <v>0</v>
      </c>
      <c r="Z68" s="52">
        <f t="shared" si="85"/>
        <v>0</v>
      </c>
      <c r="AA68" s="52">
        <f t="shared" si="86"/>
        <v>0</v>
      </c>
      <c r="AB68" s="52">
        <f t="shared" si="87"/>
        <v>0</v>
      </c>
      <c r="AC68" s="52">
        <v>0</v>
      </c>
      <c r="AD68" s="52">
        <f t="shared" si="88"/>
        <v>0</v>
      </c>
      <c r="AE68" s="52">
        <f t="shared" si="89"/>
        <v>0</v>
      </c>
      <c r="AF68" s="52">
        <f t="shared" si="90"/>
        <v>0</v>
      </c>
      <c r="AG68" s="52">
        <v>0</v>
      </c>
      <c r="AH68" s="52">
        <f t="shared" si="91"/>
        <v>0</v>
      </c>
      <c r="AI68" s="52">
        <f t="shared" si="92"/>
        <v>0</v>
      </c>
      <c r="AJ68" s="52">
        <f t="shared" si="93"/>
        <v>0</v>
      </c>
      <c r="AM68" s="47"/>
    </row>
    <row r="69" spans="2:42" ht="12" customHeight="1" x14ac:dyDescent="0.2">
      <c r="B69" s="51"/>
      <c r="C69" s="67" t="s">
        <v>181</v>
      </c>
      <c r="D69" s="52">
        <v>0</v>
      </c>
      <c r="E69" s="52">
        <v>23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U69" s="52">
        <v>0</v>
      </c>
      <c r="V69" s="52">
        <f t="shared" si="82"/>
        <v>23</v>
      </c>
      <c r="W69" s="52">
        <f t="shared" si="83"/>
        <v>-23</v>
      </c>
      <c r="X69" s="52">
        <f t="shared" si="84"/>
        <v>0</v>
      </c>
      <c r="Y69" s="52">
        <v>0</v>
      </c>
      <c r="Z69" s="52">
        <f t="shared" si="85"/>
        <v>0</v>
      </c>
      <c r="AA69" s="52">
        <f t="shared" si="86"/>
        <v>0</v>
      </c>
      <c r="AB69" s="52">
        <f t="shared" si="87"/>
        <v>0</v>
      </c>
      <c r="AC69" s="52">
        <v>0</v>
      </c>
      <c r="AD69" s="52">
        <f t="shared" si="88"/>
        <v>0</v>
      </c>
      <c r="AE69" s="52">
        <f t="shared" si="89"/>
        <v>0</v>
      </c>
      <c r="AF69" s="52">
        <f t="shared" si="90"/>
        <v>0</v>
      </c>
      <c r="AG69" s="52">
        <v>0</v>
      </c>
      <c r="AH69" s="52">
        <f t="shared" si="91"/>
        <v>0</v>
      </c>
      <c r="AI69" s="52">
        <f t="shared" si="92"/>
        <v>0</v>
      </c>
      <c r="AJ69" s="52">
        <f t="shared" si="93"/>
        <v>0</v>
      </c>
    </row>
    <row r="70" spans="2:42" ht="12" customHeight="1" x14ac:dyDescent="0.2">
      <c r="B70" s="51"/>
      <c r="C70" s="67" t="s">
        <v>182</v>
      </c>
      <c r="D70" s="52"/>
      <c r="E70" s="52">
        <v>23169</v>
      </c>
      <c r="F70" s="52">
        <v>26452</v>
      </c>
      <c r="G70" s="52">
        <v>33154</v>
      </c>
      <c r="H70" s="52">
        <v>9883</v>
      </c>
      <c r="I70" s="52">
        <v>14100</v>
      </c>
      <c r="J70" s="52">
        <v>16345</v>
      </c>
      <c r="K70" s="52">
        <v>20233</v>
      </c>
      <c r="L70" s="52">
        <v>4912</v>
      </c>
      <c r="M70" s="52">
        <v>6797</v>
      </c>
      <c r="N70" s="52">
        <v>26724</v>
      </c>
      <c r="O70" s="52">
        <v>24293</v>
      </c>
      <c r="P70" s="52">
        <v>41366</v>
      </c>
      <c r="Q70" s="52">
        <v>54937</v>
      </c>
      <c r="R70" s="52">
        <v>113023</v>
      </c>
      <c r="S70" s="52">
        <v>130422</v>
      </c>
      <c r="U70" s="52"/>
      <c r="V70" s="52">
        <f t="shared" si="82"/>
        <v>23169</v>
      </c>
      <c r="W70" s="52">
        <f t="shared" si="83"/>
        <v>3283</v>
      </c>
      <c r="X70" s="52">
        <f t="shared" si="84"/>
        <v>6702</v>
      </c>
      <c r="Y70" s="52">
        <v>9883</v>
      </c>
      <c r="Z70" s="52">
        <f t="shared" si="85"/>
        <v>4217</v>
      </c>
      <c r="AA70" s="52">
        <f t="shared" si="86"/>
        <v>2245</v>
      </c>
      <c r="AB70" s="52">
        <f t="shared" si="87"/>
        <v>3888</v>
      </c>
      <c r="AC70" s="52">
        <v>4912</v>
      </c>
      <c r="AD70" s="52">
        <f t="shared" si="88"/>
        <v>1885</v>
      </c>
      <c r="AE70" s="52">
        <f t="shared" si="89"/>
        <v>19927</v>
      </c>
      <c r="AF70" s="52">
        <f t="shared" si="90"/>
        <v>-2431</v>
      </c>
      <c r="AG70" s="52">
        <v>41366</v>
      </c>
      <c r="AH70" s="52">
        <f t="shared" si="91"/>
        <v>13571</v>
      </c>
      <c r="AI70" s="52">
        <f t="shared" si="92"/>
        <v>58086</v>
      </c>
      <c r="AJ70" s="52">
        <f t="shared" si="93"/>
        <v>17399</v>
      </c>
    </row>
    <row r="71" spans="2:42" ht="12" customHeight="1" x14ac:dyDescent="0.2">
      <c r="B71" s="51"/>
      <c r="C71" s="67" t="s">
        <v>183</v>
      </c>
      <c r="D71" s="52">
        <v>-11131</v>
      </c>
      <c r="E71" s="52">
        <v>-21340</v>
      </c>
      <c r="F71" s="52">
        <v>-29259</v>
      </c>
      <c r="G71" s="52">
        <v>-38061</v>
      </c>
      <c r="H71" s="52">
        <v>-2975</v>
      </c>
      <c r="I71" s="52">
        <v>-11427</v>
      </c>
      <c r="J71" s="52">
        <v>-25301</v>
      </c>
      <c r="K71" s="52">
        <v>-28878</v>
      </c>
      <c r="L71" s="52">
        <v>-19378</v>
      </c>
      <c r="M71" s="52">
        <v>-17743</v>
      </c>
      <c r="N71" s="52">
        <v>-28413</v>
      </c>
      <c r="O71" s="52">
        <v>-50373</v>
      </c>
      <c r="P71" s="52">
        <v>-31757</v>
      </c>
      <c r="Q71" s="52">
        <v>-34308</v>
      </c>
      <c r="R71" s="52">
        <v>-41679</v>
      </c>
      <c r="S71" s="52">
        <v>-49589</v>
      </c>
      <c r="U71" s="52">
        <v>-11131</v>
      </c>
      <c r="V71" s="52">
        <f t="shared" si="82"/>
        <v>-10209</v>
      </c>
      <c r="W71" s="52">
        <f t="shared" si="83"/>
        <v>-7919</v>
      </c>
      <c r="X71" s="52">
        <f t="shared" si="84"/>
        <v>-8802</v>
      </c>
      <c r="Y71" s="52">
        <v>-2975</v>
      </c>
      <c r="Z71" s="52">
        <f t="shared" si="85"/>
        <v>-8452</v>
      </c>
      <c r="AA71" s="52">
        <f t="shared" si="86"/>
        <v>-13874</v>
      </c>
      <c r="AB71" s="52">
        <f t="shared" si="87"/>
        <v>-3577</v>
      </c>
      <c r="AC71" s="52">
        <v>-19378</v>
      </c>
      <c r="AD71" s="52">
        <f t="shared" si="88"/>
        <v>1635</v>
      </c>
      <c r="AE71" s="52">
        <f t="shared" si="89"/>
        <v>-10670</v>
      </c>
      <c r="AF71" s="52">
        <f t="shared" si="90"/>
        <v>-21960</v>
      </c>
      <c r="AG71" s="52">
        <v>-31757</v>
      </c>
      <c r="AH71" s="52">
        <f t="shared" si="91"/>
        <v>-2551</v>
      </c>
      <c r="AI71" s="52">
        <f t="shared" si="92"/>
        <v>-7371</v>
      </c>
      <c r="AJ71" s="52">
        <f t="shared" si="93"/>
        <v>-7910</v>
      </c>
    </row>
    <row r="72" spans="2:42" ht="12" customHeight="1" x14ac:dyDescent="0.2">
      <c r="B72" s="51"/>
      <c r="C72" s="67" t="s">
        <v>184</v>
      </c>
      <c r="D72" s="52">
        <v>-832</v>
      </c>
      <c r="E72" s="52">
        <v>-1773</v>
      </c>
      <c r="F72" s="52">
        <v>-2875</v>
      </c>
      <c r="G72" s="52">
        <v>-4024</v>
      </c>
      <c r="H72" s="52">
        <v>-945</v>
      </c>
      <c r="I72" s="52">
        <v>-1902</v>
      </c>
      <c r="J72" s="52">
        <v>-2985</v>
      </c>
      <c r="K72" s="52">
        <v>-3936</v>
      </c>
      <c r="L72" s="52">
        <v>-883</v>
      </c>
      <c r="M72" s="52">
        <v>-1045</v>
      </c>
      <c r="N72" s="52">
        <v>-1420</v>
      </c>
      <c r="O72" s="52">
        <v>-1750</v>
      </c>
      <c r="P72" s="52">
        <v>-295</v>
      </c>
      <c r="Q72" s="52">
        <v>-669</v>
      </c>
      <c r="R72" s="52">
        <v>-1105</v>
      </c>
      <c r="S72" s="52">
        <v>-1983</v>
      </c>
      <c r="U72" s="52">
        <v>-832</v>
      </c>
      <c r="V72" s="52">
        <f t="shared" si="82"/>
        <v>-941</v>
      </c>
      <c r="W72" s="52">
        <f t="shared" si="83"/>
        <v>-1102</v>
      </c>
      <c r="X72" s="52">
        <f t="shared" si="84"/>
        <v>-1149</v>
      </c>
      <c r="Y72" s="52">
        <v>-945</v>
      </c>
      <c r="Z72" s="52">
        <f t="shared" si="85"/>
        <v>-957</v>
      </c>
      <c r="AA72" s="52">
        <f t="shared" si="86"/>
        <v>-1083</v>
      </c>
      <c r="AB72" s="52">
        <f t="shared" si="87"/>
        <v>-951</v>
      </c>
      <c r="AC72" s="52">
        <v>-883</v>
      </c>
      <c r="AD72" s="52">
        <f t="shared" si="88"/>
        <v>-162</v>
      </c>
      <c r="AE72" s="52">
        <f t="shared" si="89"/>
        <v>-375</v>
      </c>
      <c r="AF72" s="52">
        <f t="shared" si="90"/>
        <v>-330</v>
      </c>
      <c r="AG72" s="52">
        <v>-295</v>
      </c>
      <c r="AH72" s="52">
        <f t="shared" si="91"/>
        <v>-374</v>
      </c>
      <c r="AI72" s="52">
        <f t="shared" si="92"/>
        <v>-436</v>
      </c>
      <c r="AJ72" s="52">
        <f t="shared" si="93"/>
        <v>-878</v>
      </c>
    </row>
    <row r="73" spans="2:42" ht="12" customHeight="1" x14ac:dyDescent="0.2">
      <c r="B73" s="51"/>
      <c r="C73" s="67" t="s">
        <v>185</v>
      </c>
      <c r="D73" s="52">
        <v>-169</v>
      </c>
      <c r="E73" s="52">
        <v>-25257</v>
      </c>
      <c r="F73" s="52">
        <v>-25277</v>
      </c>
      <c r="G73" s="52">
        <v>-37010</v>
      </c>
      <c r="H73" s="52">
        <v>0</v>
      </c>
      <c r="I73" s="52">
        <v>-26335</v>
      </c>
      <c r="J73" s="52">
        <v>-26802</v>
      </c>
      <c r="K73" s="52">
        <v>-39950</v>
      </c>
      <c r="L73" s="52">
        <v>0</v>
      </c>
      <c r="M73" s="52">
        <v>-464</v>
      </c>
      <c r="N73" s="52">
        <v>-19448</v>
      </c>
      <c r="O73" s="52">
        <v>-33048</v>
      </c>
      <c r="P73" s="52">
        <v>0</v>
      </c>
      <c r="Q73" s="52">
        <v>0</v>
      </c>
      <c r="R73" s="52">
        <v>-22347</v>
      </c>
      <c r="S73" s="52">
        <v>-22347</v>
      </c>
      <c r="U73" s="52">
        <v>-169</v>
      </c>
      <c r="V73" s="52">
        <f t="shared" si="82"/>
        <v>-25088</v>
      </c>
      <c r="W73" s="52">
        <f t="shared" si="83"/>
        <v>-20</v>
      </c>
      <c r="X73" s="52">
        <f t="shared" si="84"/>
        <v>-11733</v>
      </c>
      <c r="Y73" s="52">
        <v>0</v>
      </c>
      <c r="Z73" s="52">
        <f t="shared" si="85"/>
        <v>-26335</v>
      </c>
      <c r="AA73" s="52">
        <f t="shared" si="86"/>
        <v>-467</v>
      </c>
      <c r="AB73" s="52">
        <f t="shared" si="87"/>
        <v>-13148</v>
      </c>
      <c r="AC73" s="52">
        <v>0</v>
      </c>
      <c r="AD73" s="52">
        <f t="shared" si="88"/>
        <v>-464</v>
      </c>
      <c r="AE73" s="52">
        <f t="shared" si="89"/>
        <v>-18984</v>
      </c>
      <c r="AF73" s="52">
        <f t="shared" si="90"/>
        <v>-13600</v>
      </c>
      <c r="AG73" s="52">
        <v>0</v>
      </c>
      <c r="AH73" s="52">
        <f t="shared" si="91"/>
        <v>0</v>
      </c>
      <c r="AI73" s="52">
        <f t="shared" si="92"/>
        <v>-22347</v>
      </c>
      <c r="AJ73" s="52">
        <f t="shared" si="93"/>
        <v>0</v>
      </c>
    </row>
    <row r="74" spans="2:42" ht="12" customHeight="1" x14ac:dyDescent="0.2">
      <c r="B74" s="51"/>
      <c r="C74" s="67" t="s">
        <v>186</v>
      </c>
      <c r="D74" s="52">
        <v>-1335</v>
      </c>
      <c r="E74" s="52">
        <v>-2577</v>
      </c>
      <c r="F74" s="52">
        <v>-3974</v>
      </c>
      <c r="G74" s="52">
        <v>-5863</v>
      </c>
      <c r="H74" s="52">
        <v>-1536</v>
      </c>
      <c r="I74" s="52">
        <v>-4415</v>
      </c>
      <c r="J74" s="52">
        <v>-5139</v>
      </c>
      <c r="K74" s="52">
        <v>-8706</v>
      </c>
      <c r="L74" s="52">
        <v>-1813</v>
      </c>
      <c r="M74" s="52">
        <v>-5201</v>
      </c>
      <c r="N74" s="52">
        <v>-5814</v>
      </c>
      <c r="O74" s="52">
        <v>-8215</v>
      </c>
      <c r="P74" s="52">
        <v>-2905</v>
      </c>
      <c r="Q74" s="52">
        <v>-7966</v>
      </c>
      <c r="R74" s="52">
        <v>-8786</v>
      </c>
      <c r="S74" s="52">
        <v>-12630</v>
      </c>
      <c r="U74" s="52">
        <v>-1335</v>
      </c>
      <c r="V74" s="52">
        <f t="shared" si="82"/>
        <v>-1242</v>
      </c>
      <c r="W74" s="52">
        <f t="shared" si="83"/>
        <v>-1397</v>
      </c>
      <c r="X74" s="52">
        <f t="shared" si="84"/>
        <v>-1889</v>
      </c>
      <c r="Y74" s="52">
        <v>-1536</v>
      </c>
      <c r="Z74" s="52">
        <f t="shared" si="85"/>
        <v>-2879</v>
      </c>
      <c r="AA74" s="52">
        <f t="shared" si="86"/>
        <v>-724</v>
      </c>
      <c r="AB74" s="52">
        <f t="shared" si="87"/>
        <v>-3567</v>
      </c>
      <c r="AC74" s="52">
        <v>-1813</v>
      </c>
      <c r="AD74" s="52">
        <f t="shared" si="88"/>
        <v>-3388</v>
      </c>
      <c r="AE74" s="52">
        <f t="shared" si="89"/>
        <v>-613</v>
      </c>
      <c r="AF74" s="52">
        <f t="shared" si="90"/>
        <v>-2401</v>
      </c>
      <c r="AG74" s="52">
        <v>-2905</v>
      </c>
      <c r="AH74" s="52">
        <f t="shared" si="91"/>
        <v>-5061</v>
      </c>
      <c r="AI74" s="52">
        <f t="shared" si="92"/>
        <v>-820</v>
      </c>
      <c r="AJ74" s="52">
        <f t="shared" si="93"/>
        <v>-3844</v>
      </c>
    </row>
    <row r="75" spans="2:42" ht="12" customHeight="1" x14ac:dyDescent="0.2">
      <c r="B75" s="51"/>
      <c r="C75" s="67" t="s">
        <v>174</v>
      </c>
      <c r="D75" s="52">
        <v>-42</v>
      </c>
      <c r="E75" s="52">
        <v>-135</v>
      </c>
      <c r="F75" s="52">
        <v>-297</v>
      </c>
      <c r="G75" s="52">
        <v>-369</v>
      </c>
      <c r="H75" s="52">
        <v>-131</v>
      </c>
      <c r="I75" s="52">
        <v>-513</v>
      </c>
      <c r="J75" s="52">
        <v>-444</v>
      </c>
      <c r="K75" s="52">
        <v>-524</v>
      </c>
      <c r="L75" s="52">
        <v>-165</v>
      </c>
      <c r="M75" s="52">
        <v>-503</v>
      </c>
      <c r="N75" s="52">
        <v>-613</v>
      </c>
      <c r="O75" s="52">
        <v>-619</v>
      </c>
      <c r="P75" s="52">
        <v>-215</v>
      </c>
      <c r="Q75" s="52">
        <v>-308</v>
      </c>
      <c r="R75" s="52">
        <v>-425</v>
      </c>
      <c r="S75" s="52">
        <v>-577</v>
      </c>
      <c r="U75" s="52">
        <v>-42</v>
      </c>
      <c r="V75" s="52">
        <f t="shared" si="82"/>
        <v>-93</v>
      </c>
      <c r="W75" s="52">
        <f t="shared" si="83"/>
        <v>-162</v>
      </c>
      <c r="X75" s="52">
        <f t="shared" si="84"/>
        <v>-72</v>
      </c>
      <c r="Y75" s="52">
        <v>-131</v>
      </c>
      <c r="Z75" s="52">
        <f t="shared" si="85"/>
        <v>-382</v>
      </c>
      <c r="AA75" s="52">
        <f t="shared" si="86"/>
        <v>69</v>
      </c>
      <c r="AB75" s="52">
        <f t="shared" si="87"/>
        <v>-80</v>
      </c>
      <c r="AC75" s="52">
        <v>-165</v>
      </c>
      <c r="AD75" s="52">
        <f t="shared" si="88"/>
        <v>-338</v>
      </c>
      <c r="AE75" s="52">
        <f t="shared" si="89"/>
        <v>-110</v>
      </c>
      <c r="AF75" s="52">
        <f t="shared" si="90"/>
        <v>-6</v>
      </c>
      <c r="AG75" s="52">
        <v>-215</v>
      </c>
      <c r="AH75" s="52">
        <f t="shared" si="91"/>
        <v>-93</v>
      </c>
      <c r="AI75" s="52">
        <f t="shared" si="92"/>
        <v>-117</v>
      </c>
      <c r="AJ75" s="52">
        <f t="shared" si="93"/>
        <v>-152</v>
      </c>
    </row>
    <row r="76" spans="2:42" ht="12" customHeight="1" x14ac:dyDescent="0.2">
      <c r="B76" s="222" t="s">
        <v>187</v>
      </c>
      <c r="C76" s="223"/>
      <c r="D76" s="68">
        <f t="shared" ref="D76:G76" si="94">SUM(D65:D75)</f>
        <v>-13509</v>
      </c>
      <c r="E76" s="68">
        <f t="shared" si="94"/>
        <v>-28161</v>
      </c>
      <c r="F76" s="68">
        <f t="shared" si="94"/>
        <v>-38319</v>
      </c>
      <c r="G76" s="68">
        <f t="shared" si="94"/>
        <v>-56922</v>
      </c>
      <c r="H76" s="68">
        <f t="shared" ref="H76:I76" si="95">SUM(H65:H75)</f>
        <v>2997</v>
      </c>
      <c r="I76" s="68">
        <f t="shared" si="95"/>
        <v>-32012</v>
      </c>
      <c r="J76" s="68">
        <f>SUM(J65:J75)</f>
        <v>-46576</v>
      </c>
      <c r="K76" s="68">
        <f t="shared" ref="K76:O76" si="96">SUM(K65:K75)</f>
        <v>-64311</v>
      </c>
      <c r="L76" s="68">
        <f t="shared" si="96"/>
        <v>-17507</v>
      </c>
      <c r="M76" s="68">
        <f t="shared" si="96"/>
        <v>-18339</v>
      </c>
      <c r="N76" s="68">
        <f t="shared" si="96"/>
        <v>-29243</v>
      </c>
      <c r="O76" s="68">
        <f t="shared" si="96"/>
        <v>-70191</v>
      </c>
      <c r="P76" s="68">
        <f t="shared" ref="P76:Q76" si="97">SUM(P65:P75)</f>
        <v>5955</v>
      </c>
      <c r="Q76" s="68">
        <f t="shared" si="97"/>
        <v>11325</v>
      </c>
      <c r="R76" s="68">
        <f t="shared" ref="R76:S76" si="98">SUM(R65:R75)</f>
        <v>38320</v>
      </c>
      <c r="S76" s="68">
        <f t="shared" si="98"/>
        <v>42486</v>
      </c>
      <c r="U76" s="68">
        <f t="shared" ref="U76:Z76" si="99">SUM(U65:U75)</f>
        <v>-13509</v>
      </c>
      <c r="V76" s="68">
        <f t="shared" si="99"/>
        <v>-14652</v>
      </c>
      <c r="W76" s="68">
        <f t="shared" si="99"/>
        <v>-10158</v>
      </c>
      <c r="X76" s="68">
        <f t="shared" si="99"/>
        <v>-18603</v>
      </c>
      <c r="Y76" s="68">
        <f t="shared" si="99"/>
        <v>2997</v>
      </c>
      <c r="Z76" s="68">
        <f t="shared" si="99"/>
        <v>-35009</v>
      </c>
      <c r="AA76" s="68">
        <f>SUM(AA65:AA75)</f>
        <v>-14564</v>
      </c>
      <c r="AB76" s="68">
        <f t="shared" ref="AB76:AF76" si="100">SUM(AB65:AB75)</f>
        <v>-17735</v>
      </c>
      <c r="AC76" s="68">
        <f t="shared" si="100"/>
        <v>-17507</v>
      </c>
      <c r="AD76" s="68">
        <f t="shared" si="100"/>
        <v>-832</v>
      </c>
      <c r="AE76" s="68">
        <f t="shared" si="100"/>
        <v>-10904</v>
      </c>
      <c r="AF76" s="68">
        <f t="shared" si="100"/>
        <v>-40948</v>
      </c>
      <c r="AG76" s="68">
        <f t="shared" ref="AG76:AH76" si="101">SUM(AG65:AG75)</f>
        <v>5955</v>
      </c>
      <c r="AH76" s="68">
        <f t="shared" si="101"/>
        <v>5370</v>
      </c>
      <c r="AI76" s="68">
        <f t="shared" ref="AI76:AJ76" si="102">SUM(AI65:AI75)</f>
        <v>26995</v>
      </c>
      <c r="AJ76" s="68">
        <f t="shared" si="102"/>
        <v>4166</v>
      </c>
    </row>
    <row r="77" spans="2:42" ht="12" customHeight="1" x14ac:dyDescent="0.2">
      <c r="B77" s="222" t="s">
        <v>188</v>
      </c>
      <c r="C77" s="223"/>
      <c r="D77" s="68">
        <f t="shared" ref="D77:G77" si="103">SUM(D43,D63,D76)</f>
        <v>3464</v>
      </c>
      <c r="E77" s="68">
        <f t="shared" si="103"/>
        <v>-10591</v>
      </c>
      <c r="F77" s="68">
        <f t="shared" si="103"/>
        <v>-12990</v>
      </c>
      <c r="G77" s="68">
        <f t="shared" si="103"/>
        <v>-12271</v>
      </c>
      <c r="H77" s="68">
        <f t="shared" ref="H77:I77" si="104">SUM(H43,H63,H76)</f>
        <v>7456</v>
      </c>
      <c r="I77" s="68">
        <f t="shared" si="104"/>
        <v>-4434</v>
      </c>
      <c r="J77" s="68">
        <f>SUM(J43,J63,J76)</f>
        <v>-4695</v>
      </c>
      <c r="K77" s="68">
        <f t="shared" ref="K77:O77" si="105">SUM(K43,K63,K76)</f>
        <v>4991</v>
      </c>
      <c r="L77" s="68">
        <f t="shared" si="105"/>
        <v>11215</v>
      </c>
      <c r="M77" s="68">
        <f t="shared" si="105"/>
        <v>5456</v>
      </c>
      <c r="N77" s="68">
        <f t="shared" si="105"/>
        <v>3500</v>
      </c>
      <c r="O77" s="68">
        <f t="shared" si="105"/>
        <v>-5071</v>
      </c>
      <c r="P77" s="68">
        <f t="shared" ref="P77:Q77" si="106">SUM(P43,P63,P76)</f>
        <v>10984</v>
      </c>
      <c r="Q77" s="68">
        <f t="shared" si="106"/>
        <v>5716</v>
      </c>
      <c r="R77" s="68">
        <f t="shared" ref="R77:S77" si="107">SUM(R43,R63,R76)</f>
        <v>8208</v>
      </c>
      <c r="S77" s="68">
        <f t="shared" si="107"/>
        <v>7581</v>
      </c>
      <c r="U77" s="68">
        <f t="shared" ref="U77:Z77" si="108">SUM(U43,U63,U76)</f>
        <v>3464</v>
      </c>
      <c r="V77" s="68">
        <f t="shared" si="108"/>
        <v>-14055</v>
      </c>
      <c r="W77" s="68">
        <f t="shared" si="108"/>
        <v>-2399</v>
      </c>
      <c r="X77" s="68">
        <f t="shared" si="108"/>
        <v>719</v>
      </c>
      <c r="Y77" s="68">
        <f t="shared" si="108"/>
        <v>7456</v>
      </c>
      <c r="Z77" s="68">
        <f t="shared" si="108"/>
        <v>-11890</v>
      </c>
      <c r="AA77" s="68">
        <f>SUM(AA43,AA63,AA76)</f>
        <v>-261</v>
      </c>
      <c r="AB77" s="68">
        <f t="shared" ref="AB77:AF77" si="109">SUM(AB43,AB63,AB76)</f>
        <v>9686</v>
      </c>
      <c r="AC77" s="68">
        <f t="shared" si="109"/>
        <v>11215</v>
      </c>
      <c r="AD77" s="68">
        <f t="shared" si="109"/>
        <v>-5759</v>
      </c>
      <c r="AE77" s="68">
        <f t="shared" si="109"/>
        <v>-1956</v>
      </c>
      <c r="AF77" s="68">
        <f t="shared" si="109"/>
        <v>-8571</v>
      </c>
      <c r="AG77" s="68">
        <f t="shared" ref="AG77:AH77" si="110">SUM(AG43,AG63,AG76)</f>
        <v>10984</v>
      </c>
      <c r="AH77" s="68">
        <f t="shared" si="110"/>
        <v>-5268</v>
      </c>
      <c r="AI77" s="68">
        <f t="shared" ref="AI77:AJ77" si="111">SUM(AI43,AI63,AI76)</f>
        <v>2492</v>
      </c>
      <c r="AJ77" s="68">
        <f t="shared" si="111"/>
        <v>-627</v>
      </c>
    </row>
    <row r="78" spans="2:42" ht="12" customHeight="1" x14ac:dyDescent="0.2">
      <c r="B78" s="69"/>
      <c r="C78" s="70" t="s">
        <v>189</v>
      </c>
      <c r="D78" s="71">
        <f t="shared" ref="D78:G78" si="112">SUM(J82,-D80)</f>
        <v>0</v>
      </c>
      <c r="E78" s="71">
        <f t="shared" si="112"/>
        <v>0</v>
      </c>
      <c r="F78" s="71">
        <f t="shared" si="112"/>
        <v>0</v>
      </c>
      <c r="G78" s="71">
        <f t="shared" si="112"/>
        <v>0</v>
      </c>
      <c r="H78" s="71">
        <f>SUM(N82,-H80)</f>
        <v>0</v>
      </c>
      <c r="I78" s="71">
        <f>SUM(O82,-I80)</f>
        <v>0</v>
      </c>
      <c r="J78" s="71">
        <f>SUM(T82,-J80)</f>
        <v>0</v>
      </c>
      <c r="K78" s="71">
        <f t="shared" ref="K78:S78" si="113">SUM(T82,-K80)</f>
        <v>0</v>
      </c>
      <c r="L78" s="71">
        <f t="shared" si="113"/>
        <v>0</v>
      </c>
      <c r="M78" s="71">
        <f t="shared" si="113"/>
        <v>0</v>
      </c>
      <c r="N78" s="71">
        <f t="shared" si="113"/>
        <v>0</v>
      </c>
      <c r="O78" s="71">
        <f t="shared" si="113"/>
        <v>0</v>
      </c>
      <c r="P78" s="71">
        <f t="shared" si="113"/>
        <v>0</v>
      </c>
      <c r="Q78" s="71">
        <f t="shared" si="113"/>
        <v>0</v>
      </c>
      <c r="R78" s="71">
        <f t="shared" si="113"/>
        <v>0</v>
      </c>
      <c r="S78" s="71">
        <f t="shared" si="113"/>
        <v>0</v>
      </c>
      <c r="U78" s="71">
        <f t="shared" ref="U78" si="114">SUM(AA82,-U80)</f>
        <v>0</v>
      </c>
      <c r="V78" s="71">
        <f t="shared" ref="V78" si="115">SUM(AB82,-V80)</f>
        <v>0</v>
      </c>
      <c r="W78" s="71">
        <f t="shared" ref="W78" si="116">SUM(AC82,-W80)</f>
        <v>0</v>
      </c>
      <c r="X78" s="71">
        <f t="shared" ref="X78" si="117">SUM(AD82,-X80)</f>
        <v>0</v>
      </c>
      <c r="Y78" s="71">
        <f>SUM(AE82,-Y80)</f>
        <v>0</v>
      </c>
      <c r="Z78" s="71">
        <f>SUM(AF82,-Z80)</f>
        <v>0</v>
      </c>
      <c r="AA78" s="71">
        <f>SUM(AI82,-AA80)</f>
        <v>0</v>
      </c>
      <c r="AB78" s="71">
        <f>SUM(AI82,-AB80)</f>
        <v>0</v>
      </c>
      <c r="AC78" s="71">
        <f t="shared" ref="AC78" si="118">SUM(AJ82,-AC80)</f>
        <v>0</v>
      </c>
      <c r="AD78" s="71">
        <f t="shared" ref="AD78" si="119">SUM(AK82,-AD80)</f>
        <v>0</v>
      </c>
      <c r="AE78" s="71">
        <f t="shared" ref="AE78" si="120">SUM(AL82,-AE80)</f>
        <v>0</v>
      </c>
      <c r="AF78" s="71">
        <f t="shared" ref="AF78:AJ78" si="121">SUM(AM82,-AF80)</f>
        <v>0</v>
      </c>
      <c r="AG78" s="71">
        <f t="shared" si="121"/>
        <v>0</v>
      </c>
      <c r="AH78" s="71">
        <f t="shared" si="121"/>
        <v>0</v>
      </c>
      <c r="AI78" s="71">
        <f t="shared" si="121"/>
        <v>0</v>
      </c>
      <c r="AJ78" s="71">
        <f t="shared" si="121"/>
        <v>0</v>
      </c>
    </row>
    <row r="79" spans="2:42" ht="12" customHeight="1" x14ac:dyDescent="0.2">
      <c r="B79" s="228" t="s">
        <v>190</v>
      </c>
      <c r="C79" s="225"/>
      <c r="D79" s="49">
        <v>41602</v>
      </c>
      <c r="E79" s="49">
        <v>41602</v>
      </c>
      <c r="F79" s="49">
        <v>41602</v>
      </c>
      <c r="G79" s="49">
        <v>41602</v>
      </c>
      <c r="H79" s="49">
        <v>29331</v>
      </c>
      <c r="I79" s="49">
        <v>29331</v>
      </c>
      <c r="J79" s="49">
        <v>29331</v>
      </c>
      <c r="K79" s="49">
        <v>29331</v>
      </c>
      <c r="L79" s="49">
        <v>34322</v>
      </c>
      <c r="M79" s="49">
        <v>34322</v>
      </c>
      <c r="N79" s="49">
        <v>34322</v>
      </c>
      <c r="O79" s="49">
        <v>34322</v>
      </c>
      <c r="P79" s="49">
        <f>O81</f>
        <v>29251</v>
      </c>
      <c r="Q79" s="49">
        <f>O81</f>
        <v>29251</v>
      </c>
      <c r="R79" s="49">
        <f>O81</f>
        <v>29251</v>
      </c>
      <c r="S79" s="49">
        <f>O81</f>
        <v>29251</v>
      </c>
      <c r="U79" s="49">
        <v>41602</v>
      </c>
      <c r="V79" s="49">
        <f>U81</f>
        <v>45066</v>
      </c>
      <c r="W79" s="49">
        <f t="shared" ref="W79:X79" si="122">V81</f>
        <v>31011</v>
      </c>
      <c r="X79" s="49">
        <f t="shared" si="122"/>
        <v>28612</v>
      </c>
      <c r="Y79" s="49">
        <v>29331</v>
      </c>
      <c r="Z79" s="49">
        <f>Y81</f>
        <v>36787</v>
      </c>
      <c r="AA79" s="49">
        <f t="shared" ref="AA79:AB79" si="123">Z81</f>
        <v>24897</v>
      </c>
      <c r="AB79" s="49">
        <f t="shared" si="123"/>
        <v>24636</v>
      </c>
      <c r="AC79" s="49">
        <v>34322</v>
      </c>
      <c r="AD79" s="49">
        <f t="shared" ref="AD79:AJ79" si="124">AC81</f>
        <v>45537</v>
      </c>
      <c r="AE79" s="49">
        <f t="shared" si="124"/>
        <v>39778</v>
      </c>
      <c r="AF79" s="49">
        <f t="shared" si="124"/>
        <v>37822</v>
      </c>
      <c r="AG79" s="49">
        <f t="shared" si="124"/>
        <v>29251</v>
      </c>
      <c r="AH79" s="49">
        <f t="shared" si="124"/>
        <v>40235</v>
      </c>
      <c r="AI79" s="49">
        <f t="shared" si="124"/>
        <v>34967</v>
      </c>
      <c r="AJ79" s="49">
        <f t="shared" si="124"/>
        <v>37459</v>
      </c>
    </row>
    <row r="80" spans="2:42" ht="12" customHeight="1" x14ac:dyDescent="0.2">
      <c r="B80" s="51"/>
      <c r="C80" s="67" t="s">
        <v>191</v>
      </c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U80" s="52"/>
      <c r="V80" s="52"/>
      <c r="W80" s="52"/>
      <c r="X80" s="52"/>
      <c r="Y80" s="52"/>
      <c r="Z80" s="52"/>
      <c r="AA80" s="52"/>
      <c r="AB80" s="52"/>
      <c r="AC80" s="52"/>
      <c r="AD80" s="52"/>
      <c r="AE80" s="52"/>
      <c r="AF80" s="52"/>
      <c r="AG80" s="52"/>
      <c r="AH80" s="52"/>
      <c r="AI80" s="52"/>
      <c r="AJ80" s="52"/>
    </row>
    <row r="81" spans="2:36" ht="12" customHeight="1" x14ac:dyDescent="0.2">
      <c r="B81" s="222" t="s">
        <v>192</v>
      </c>
      <c r="C81" s="223"/>
      <c r="D81" s="68">
        <f t="shared" ref="D81:I81" si="125">SUM(D77,D79)</f>
        <v>45066</v>
      </c>
      <c r="E81" s="68">
        <f t="shared" si="125"/>
        <v>31011</v>
      </c>
      <c r="F81" s="68">
        <f t="shared" si="125"/>
        <v>28612</v>
      </c>
      <c r="G81" s="68">
        <f t="shared" si="125"/>
        <v>29331</v>
      </c>
      <c r="H81" s="68">
        <f t="shared" si="125"/>
        <v>36787</v>
      </c>
      <c r="I81" s="68">
        <f t="shared" si="125"/>
        <v>24897</v>
      </c>
      <c r="J81" s="68">
        <f>SUM(J77,J79)</f>
        <v>24636</v>
      </c>
      <c r="K81" s="68">
        <f t="shared" ref="K81:R81" si="126">SUM(K77,K79)</f>
        <v>34322</v>
      </c>
      <c r="L81" s="68">
        <f t="shared" si="126"/>
        <v>45537</v>
      </c>
      <c r="M81" s="68">
        <f t="shared" si="126"/>
        <v>39778</v>
      </c>
      <c r="N81" s="68">
        <f t="shared" si="126"/>
        <v>37822</v>
      </c>
      <c r="O81" s="68">
        <f t="shared" si="126"/>
        <v>29251</v>
      </c>
      <c r="P81" s="68">
        <f t="shared" si="126"/>
        <v>40235</v>
      </c>
      <c r="Q81" s="68">
        <f t="shared" si="126"/>
        <v>34967</v>
      </c>
      <c r="R81" s="68">
        <f t="shared" si="126"/>
        <v>37459</v>
      </c>
      <c r="S81" s="68">
        <f t="shared" ref="S81" si="127">SUM(S77,S79)</f>
        <v>36832</v>
      </c>
      <c r="U81" s="68">
        <f t="shared" ref="U81:Z81" si="128">SUM(U77,U79)</f>
        <v>45066</v>
      </c>
      <c r="V81" s="68">
        <f t="shared" si="128"/>
        <v>31011</v>
      </c>
      <c r="W81" s="68">
        <f t="shared" si="128"/>
        <v>28612</v>
      </c>
      <c r="X81" s="68">
        <f t="shared" si="128"/>
        <v>29331</v>
      </c>
      <c r="Y81" s="68">
        <f t="shared" si="128"/>
        <v>36787</v>
      </c>
      <c r="Z81" s="68">
        <f t="shared" si="128"/>
        <v>24897</v>
      </c>
      <c r="AA81" s="68">
        <f>SUM(AA77,AA79)</f>
        <v>24636</v>
      </c>
      <c r="AB81" s="68">
        <f t="shared" ref="AB81:AG81" si="129">SUM(AB77,AB79)</f>
        <v>34322</v>
      </c>
      <c r="AC81" s="68">
        <f t="shared" si="129"/>
        <v>45537</v>
      </c>
      <c r="AD81" s="68">
        <f t="shared" si="129"/>
        <v>39778</v>
      </c>
      <c r="AE81" s="68">
        <f t="shared" si="129"/>
        <v>37822</v>
      </c>
      <c r="AF81" s="68">
        <f t="shared" si="129"/>
        <v>29251</v>
      </c>
      <c r="AG81" s="68">
        <f t="shared" si="129"/>
        <v>40235</v>
      </c>
      <c r="AH81" s="68">
        <f t="shared" ref="AH81:AI81" si="130">SUM(AH77,AH79)</f>
        <v>34967</v>
      </c>
      <c r="AI81" s="68">
        <f t="shared" si="130"/>
        <v>37459</v>
      </c>
      <c r="AJ81" s="68">
        <f t="shared" ref="AJ81" si="131">SUM(AJ77,AJ79)</f>
        <v>36832</v>
      </c>
    </row>
    <row r="82" spans="2:36" ht="12" customHeight="1" x14ac:dyDescent="0.2">
      <c r="B82" s="112"/>
      <c r="C82" s="113" t="s">
        <v>191</v>
      </c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</row>
    <row r="83" spans="2:36" ht="12" hidden="1" customHeight="1" x14ac:dyDescent="0.2">
      <c r="B83" s="54"/>
      <c r="C83" s="54"/>
      <c r="U83" s="46" t="b">
        <f t="shared" ref="U83:AF83" si="132">U81=D81</f>
        <v>1</v>
      </c>
      <c r="V83" s="46" t="b">
        <f t="shared" si="132"/>
        <v>1</v>
      </c>
      <c r="W83" s="46" t="b">
        <f t="shared" si="132"/>
        <v>1</v>
      </c>
      <c r="X83" s="46" t="b">
        <f t="shared" si="132"/>
        <v>1</v>
      </c>
      <c r="Y83" s="46" t="b">
        <f t="shared" si="132"/>
        <v>1</v>
      </c>
      <c r="Z83" s="46" t="b">
        <f t="shared" si="132"/>
        <v>1</v>
      </c>
      <c r="AA83" s="46" t="b">
        <f t="shared" si="132"/>
        <v>1</v>
      </c>
      <c r="AB83" s="46" t="b">
        <f t="shared" si="132"/>
        <v>1</v>
      </c>
      <c r="AC83" s="46" t="b">
        <f t="shared" si="132"/>
        <v>1</v>
      </c>
      <c r="AD83" s="46" t="b">
        <f t="shared" si="132"/>
        <v>1</v>
      </c>
      <c r="AE83" s="46" t="b">
        <f t="shared" si="132"/>
        <v>1</v>
      </c>
      <c r="AF83" s="46" t="b">
        <f t="shared" si="132"/>
        <v>1</v>
      </c>
    </row>
    <row r="84" spans="2:36" ht="12" customHeight="1" x14ac:dyDescent="0.2">
      <c r="B84" s="54"/>
      <c r="C84" s="54"/>
    </row>
    <row r="85" spans="2:36" ht="12" customHeight="1" x14ac:dyDescent="0.2">
      <c r="B85" s="55"/>
      <c r="C85" s="56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U85" s="57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</row>
    <row r="86" spans="2:36" ht="12" customHeight="1" x14ac:dyDescent="0.2">
      <c r="B86" s="55"/>
      <c r="C86" s="56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U86" s="57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</row>
    <row r="87" spans="2:36" s="60" customFormat="1" ht="12" customHeight="1" x14ac:dyDescent="0.2">
      <c r="B87" s="58"/>
      <c r="C87" s="59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8"/>
      <c r="U87" s="57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</row>
  </sheetData>
  <mergeCells count="14">
    <mergeCell ref="B77:C77"/>
    <mergeCell ref="B79:C79"/>
    <mergeCell ref="B81:C81"/>
    <mergeCell ref="D8:S8"/>
    <mergeCell ref="U8:AJ8"/>
    <mergeCell ref="B6:C6"/>
    <mergeCell ref="B39:C39"/>
    <mergeCell ref="B43:C43"/>
    <mergeCell ref="B63:C63"/>
    <mergeCell ref="B76:C76"/>
    <mergeCell ref="B8:C9"/>
    <mergeCell ref="B11:C11"/>
    <mergeCell ref="B12:C12"/>
    <mergeCell ref="B30:C30"/>
  </mergeCells>
  <pageMargins left="0.78740157480314965" right="0.78740157480314965" top="0.78740157480314965" bottom="1.1811023622047245" header="0.51181102362204722" footer="0.98425196850393704"/>
  <pageSetup paperSize="9" scale="25" orientation="portrait" cellComments="asDisplayed" r:id="rId1"/>
  <headerFooter alignWithMargins="0">
    <oddHeader>&amp;R&amp;"Arial,Kursywa"&amp;8&amp;F</oddHeader>
    <oddFooter>&amp;L&amp;8Sporządził:&amp;C&amp;8Zatwierdził:&amp;R&amp;8Strona &amp;P /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F42FF-76BC-41DE-90B0-2DB9078349A6}">
  <sheetPr>
    <tabColor rgb="FFC00000"/>
  </sheetPr>
  <dimension ref="B1:Y68"/>
  <sheetViews>
    <sheetView zoomScaleNormal="100" zoomScaleSheetLayoutView="100" workbookViewId="0">
      <pane xSplit="3" ySplit="1" topLeftCell="D26" activePane="bottomRight" state="frozen"/>
      <selection activeCell="D42" sqref="D42:D43"/>
      <selection pane="topRight" activeCell="D42" sqref="D42:D43"/>
      <selection pane="bottomLeft" activeCell="D42" sqref="D42:D43"/>
      <selection pane="bottomRight" activeCell="R40" sqref="R40"/>
    </sheetView>
  </sheetViews>
  <sheetFormatPr defaultColWidth="9.140625" defaultRowHeight="11.1" customHeight="1" outlineLevelCol="1" x14ac:dyDescent="0.2"/>
  <cols>
    <col min="1" max="1" width="2.5703125" style="46" customWidth="1"/>
    <col min="2" max="2" width="2.5703125" style="47" customWidth="1" outlineLevel="1"/>
    <col min="3" max="3" width="54.85546875" style="54" customWidth="1" outlineLevel="1"/>
    <col min="4" max="6" width="10.7109375" style="46" customWidth="1" outlineLevel="1"/>
    <col min="7" max="7" width="16" style="46" customWidth="1" outlineLevel="1"/>
    <col min="8" max="8" width="10" style="46" customWidth="1" outlineLevel="1"/>
    <col min="9" max="9" width="10.7109375" style="46" customWidth="1" outlineLevel="1"/>
    <col min="10" max="10" width="13" style="46" customWidth="1" outlineLevel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s="47" customFormat="1" ht="11.1" customHeight="1" x14ac:dyDescent="0.2">
      <c r="B1" s="48" t="s">
        <v>194</v>
      </c>
      <c r="C1" s="72"/>
      <c r="D1" s="48"/>
      <c r="E1" s="48"/>
      <c r="F1" s="48"/>
      <c r="G1" s="48"/>
      <c r="H1" s="48"/>
      <c r="I1" s="48"/>
      <c r="J1" s="48"/>
      <c r="L1" s="48" t="s">
        <v>194</v>
      </c>
      <c r="M1" s="72"/>
      <c r="N1" s="48"/>
      <c r="O1" s="48"/>
      <c r="P1" s="48"/>
      <c r="Q1" s="48"/>
      <c r="R1" s="48"/>
      <c r="S1" s="48"/>
      <c r="T1" s="48"/>
    </row>
    <row r="2" spans="2:20" s="47" customFormat="1" ht="11.1" customHeight="1" x14ac:dyDescent="0.2">
      <c r="B2" s="97" t="s">
        <v>232</v>
      </c>
      <c r="C2" s="72"/>
      <c r="D2" s="48"/>
      <c r="E2" s="48"/>
      <c r="F2" s="48"/>
      <c r="G2" s="48"/>
      <c r="H2" s="48"/>
      <c r="I2" s="48"/>
      <c r="J2" s="48"/>
      <c r="L2" s="97" t="s">
        <v>232</v>
      </c>
      <c r="M2" s="72"/>
      <c r="N2" s="48"/>
      <c r="O2" s="48"/>
      <c r="P2" s="48"/>
      <c r="Q2" s="48"/>
      <c r="R2" s="48"/>
      <c r="S2" s="48"/>
      <c r="T2" s="48"/>
    </row>
    <row r="3" spans="2:20" ht="11.1" customHeight="1" x14ac:dyDescent="0.2">
      <c r="B3" s="244" t="s">
        <v>59</v>
      </c>
      <c r="C3" s="245"/>
      <c r="D3" s="241" t="s">
        <v>196</v>
      </c>
      <c r="E3" s="241" t="s">
        <v>197</v>
      </c>
      <c r="F3" s="241" t="s">
        <v>198</v>
      </c>
      <c r="G3" s="241" t="s">
        <v>199</v>
      </c>
      <c r="H3" s="241" t="s">
        <v>200</v>
      </c>
      <c r="I3" s="241" t="s">
        <v>201</v>
      </c>
      <c r="J3" s="241" t="s">
        <v>202</v>
      </c>
      <c r="K3" s="47"/>
      <c r="L3" s="244" t="s">
        <v>59</v>
      </c>
      <c r="M3" s="245"/>
      <c r="N3" s="241" t="s">
        <v>196</v>
      </c>
      <c r="O3" s="241" t="s">
        <v>197</v>
      </c>
      <c r="P3" s="241" t="s">
        <v>198</v>
      </c>
      <c r="Q3" s="241" t="s">
        <v>199</v>
      </c>
      <c r="R3" s="241" t="s">
        <v>200</v>
      </c>
      <c r="S3" s="241" t="s">
        <v>201</v>
      </c>
      <c r="T3" s="241" t="s">
        <v>202</v>
      </c>
    </row>
    <row r="4" spans="2:20" ht="11.1" customHeight="1" x14ac:dyDescent="0.2">
      <c r="B4" s="246"/>
      <c r="C4" s="247"/>
      <c r="D4" s="242"/>
      <c r="E4" s="242"/>
      <c r="F4" s="242"/>
      <c r="G4" s="242"/>
      <c r="H4" s="242"/>
      <c r="I4" s="242"/>
      <c r="J4" s="243"/>
      <c r="K4" s="47"/>
      <c r="L4" s="246"/>
      <c r="M4" s="247"/>
      <c r="N4" s="242"/>
      <c r="O4" s="242"/>
      <c r="P4" s="242"/>
      <c r="Q4" s="242"/>
      <c r="R4" s="242"/>
      <c r="S4" s="242"/>
      <c r="T4" s="243"/>
    </row>
    <row r="5" spans="2:20" ht="11.1" customHeight="1" x14ac:dyDescent="0.2">
      <c r="B5" s="239" t="s">
        <v>210</v>
      </c>
      <c r="C5" s="240"/>
      <c r="D5" s="240"/>
      <c r="E5" s="240"/>
      <c r="F5" s="240"/>
      <c r="G5" s="240"/>
      <c r="H5" s="73"/>
      <c r="I5" s="73"/>
      <c r="J5" s="73"/>
      <c r="K5" s="47"/>
      <c r="L5" s="239" t="s">
        <v>210</v>
      </c>
      <c r="M5" s="240"/>
      <c r="N5" s="240"/>
      <c r="O5" s="240"/>
      <c r="P5" s="240"/>
      <c r="Q5" s="240"/>
      <c r="R5" s="73"/>
      <c r="S5" s="73"/>
      <c r="T5" s="73"/>
    </row>
    <row r="6" spans="2:20" ht="11.1" customHeight="1" x14ac:dyDescent="0.2">
      <c r="B6" s="238" t="s">
        <v>204</v>
      </c>
      <c r="C6" s="238"/>
      <c r="D6" s="52">
        <v>76540</v>
      </c>
      <c r="E6" s="52">
        <v>48872</v>
      </c>
      <c r="F6" s="52">
        <v>56825</v>
      </c>
      <c r="G6" s="52">
        <v>0</v>
      </c>
      <c r="H6" s="52">
        <f t="shared" ref="H6:H17" si="0">SUM(D6:G6)</f>
        <v>182237</v>
      </c>
      <c r="I6" s="52">
        <v>5946</v>
      </c>
      <c r="J6" s="52">
        <f t="shared" ref="J6:J17" si="1">H6+I6</f>
        <v>188183</v>
      </c>
      <c r="K6" s="47"/>
      <c r="L6" s="238" t="s">
        <v>204</v>
      </c>
      <c r="M6" s="238"/>
      <c r="N6" s="52">
        <v>76540</v>
      </c>
      <c r="O6" s="52">
        <v>48872</v>
      </c>
      <c r="P6" s="52">
        <v>56825</v>
      </c>
      <c r="Q6" s="52">
        <v>0</v>
      </c>
      <c r="R6" s="52">
        <f t="shared" ref="R6:R17" si="2">SUM(N6:Q6)</f>
        <v>182237</v>
      </c>
      <c r="S6" s="52">
        <v>5946</v>
      </c>
      <c r="T6" s="52">
        <f t="shared" ref="T6:T17" si="3">R6+S6</f>
        <v>188183</v>
      </c>
    </row>
    <row r="7" spans="2:20" ht="11.1" customHeight="1" x14ac:dyDescent="0.2">
      <c r="B7" s="238" t="s">
        <v>33</v>
      </c>
      <c r="C7" s="238"/>
      <c r="D7" s="52">
        <v>53671</v>
      </c>
      <c r="E7" s="52">
        <v>35215</v>
      </c>
      <c r="F7" s="52">
        <f>35636-915</f>
        <v>34721</v>
      </c>
      <c r="G7" s="52">
        <v>0</v>
      </c>
      <c r="H7" s="52">
        <f t="shared" si="0"/>
        <v>123607</v>
      </c>
      <c r="I7" s="52">
        <v>5220</v>
      </c>
      <c r="J7" s="52">
        <f t="shared" si="1"/>
        <v>128827</v>
      </c>
      <c r="K7" s="47"/>
      <c r="L7" s="238" t="s">
        <v>33</v>
      </c>
      <c r="M7" s="238"/>
      <c r="N7" s="52">
        <v>53671</v>
      </c>
      <c r="O7" s="52">
        <v>35215</v>
      </c>
      <c r="P7" s="52">
        <f>35636-915</f>
        <v>34721</v>
      </c>
      <c r="Q7" s="52">
        <v>0</v>
      </c>
      <c r="R7" s="52">
        <f t="shared" si="2"/>
        <v>123607</v>
      </c>
      <c r="S7" s="52">
        <v>5220</v>
      </c>
      <c r="T7" s="52">
        <f t="shared" si="3"/>
        <v>128827</v>
      </c>
    </row>
    <row r="8" spans="2:20" ht="11.1" customHeight="1" x14ac:dyDescent="0.2">
      <c r="B8" s="232" t="s">
        <v>205</v>
      </c>
      <c r="C8" s="232"/>
      <c r="D8" s="49">
        <f>D6-D7</f>
        <v>22869</v>
      </c>
      <c r="E8" s="49">
        <f>E6-E7</f>
        <v>13657</v>
      </c>
      <c r="F8" s="49">
        <f>F6-F7</f>
        <v>22104</v>
      </c>
      <c r="G8" s="49">
        <f>G6-G7</f>
        <v>0</v>
      </c>
      <c r="H8" s="49">
        <f t="shared" si="0"/>
        <v>58630</v>
      </c>
      <c r="I8" s="49">
        <f>I6-I7</f>
        <v>726</v>
      </c>
      <c r="J8" s="49">
        <f t="shared" si="1"/>
        <v>59356</v>
      </c>
      <c r="K8" s="47"/>
      <c r="L8" s="232" t="s">
        <v>205</v>
      </c>
      <c r="M8" s="232"/>
      <c r="N8" s="49">
        <f>N6-N7</f>
        <v>22869</v>
      </c>
      <c r="O8" s="49">
        <f>O6-O7</f>
        <v>13657</v>
      </c>
      <c r="P8" s="49">
        <f>P6-P7</f>
        <v>22104</v>
      </c>
      <c r="Q8" s="49">
        <f>Q6-Q7</f>
        <v>0</v>
      </c>
      <c r="R8" s="49">
        <f t="shared" si="2"/>
        <v>58630</v>
      </c>
      <c r="S8" s="49">
        <f>S6-S7</f>
        <v>726</v>
      </c>
      <c r="T8" s="49">
        <f t="shared" si="3"/>
        <v>59356</v>
      </c>
    </row>
    <row r="9" spans="2:20" ht="11.1" customHeight="1" x14ac:dyDescent="0.2">
      <c r="B9" s="235" t="s">
        <v>4</v>
      </c>
      <c r="C9" s="236"/>
      <c r="D9" s="52">
        <v>3971</v>
      </c>
      <c r="E9" s="52">
        <v>1170</v>
      </c>
      <c r="F9" s="52">
        <f>3648-168</f>
        <v>3480</v>
      </c>
      <c r="G9" s="52">
        <v>60</v>
      </c>
      <c r="H9" s="52">
        <f t="shared" si="0"/>
        <v>8681</v>
      </c>
      <c r="I9" s="52">
        <v>44</v>
      </c>
      <c r="J9" s="52">
        <f t="shared" si="1"/>
        <v>8725</v>
      </c>
      <c r="K9" s="47"/>
      <c r="L9" s="235" t="s">
        <v>4</v>
      </c>
      <c r="M9" s="236"/>
      <c r="N9" s="52">
        <v>3971</v>
      </c>
      <c r="O9" s="52">
        <v>1170</v>
      </c>
      <c r="P9" s="52">
        <f>3648-168</f>
        <v>3480</v>
      </c>
      <c r="Q9" s="52">
        <v>60</v>
      </c>
      <c r="R9" s="52">
        <f t="shared" si="2"/>
        <v>8681</v>
      </c>
      <c r="S9" s="52">
        <v>44</v>
      </c>
      <c r="T9" s="52">
        <f t="shared" si="3"/>
        <v>8725</v>
      </c>
    </row>
    <row r="10" spans="2:20" ht="11.1" customHeight="1" x14ac:dyDescent="0.2">
      <c r="B10" s="235" t="s">
        <v>5</v>
      </c>
      <c r="C10" s="236"/>
      <c r="D10" s="52">
        <v>14526</v>
      </c>
      <c r="E10" s="52">
        <v>6642</v>
      </c>
      <c r="F10" s="52">
        <f>6671+1083</f>
        <v>7754</v>
      </c>
      <c r="G10" s="52">
        <v>716</v>
      </c>
      <c r="H10" s="52">
        <f t="shared" si="0"/>
        <v>29638</v>
      </c>
      <c r="I10" s="52"/>
      <c r="J10" s="52">
        <f t="shared" si="1"/>
        <v>29638</v>
      </c>
      <c r="K10" s="47"/>
      <c r="L10" s="235" t="s">
        <v>5</v>
      </c>
      <c r="M10" s="236"/>
      <c r="N10" s="52">
        <v>14526</v>
      </c>
      <c r="O10" s="52">
        <v>6642</v>
      </c>
      <c r="P10" s="52">
        <f>6671+1083</f>
        <v>7754</v>
      </c>
      <c r="Q10" s="52">
        <v>716</v>
      </c>
      <c r="R10" s="52">
        <f t="shared" si="2"/>
        <v>29638</v>
      </c>
      <c r="S10" s="52"/>
      <c r="T10" s="52">
        <f t="shared" si="3"/>
        <v>29638</v>
      </c>
    </row>
    <row r="11" spans="2:20" ht="11.1" customHeight="1" x14ac:dyDescent="0.2">
      <c r="B11" s="232" t="s">
        <v>206</v>
      </c>
      <c r="C11" s="232"/>
      <c r="D11" s="49">
        <f>D8-D9-D10</f>
        <v>4372</v>
      </c>
      <c r="E11" s="49">
        <f>E8-E9-E10</f>
        <v>5845</v>
      </c>
      <c r="F11" s="49">
        <f>F8-F9-F10</f>
        <v>10870</v>
      </c>
      <c r="G11" s="49">
        <f>G8-G9-G10</f>
        <v>-776</v>
      </c>
      <c r="H11" s="49">
        <f t="shared" si="0"/>
        <v>20311</v>
      </c>
      <c r="I11" s="49">
        <f>I8-I9-I10</f>
        <v>682</v>
      </c>
      <c r="J11" s="49">
        <f t="shared" si="1"/>
        <v>20993</v>
      </c>
      <c r="K11" s="47"/>
      <c r="L11" s="232" t="s">
        <v>206</v>
      </c>
      <c r="M11" s="232"/>
      <c r="N11" s="49">
        <f>N8-N9-N10</f>
        <v>4372</v>
      </c>
      <c r="O11" s="49">
        <f>O8-O9-O10</f>
        <v>5845</v>
      </c>
      <c r="P11" s="49">
        <f>P8-P9-P10</f>
        <v>10870</v>
      </c>
      <c r="Q11" s="49">
        <f>Q8-Q9-Q10</f>
        <v>-776</v>
      </c>
      <c r="R11" s="49">
        <f t="shared" si="2"/>
        <v>20311</v>
      </c>
      <c r="S11" s="49">
        <f>S8-S9-S10</f>
        <v>682</v>
      </c>
      <c r="T11" s="49">
        <f t="shared" si="3"/>
        <v>20993</v>
      </c>
    </row>
    <row r="12" spans="2:20" ht="11.1" customHeight="1" x14ac:dyDescent="0.2">
      <c r="B12" s="235" t="s">
        <v>207</v>
      </c>
      <c r="C12" s="236"/>
      <c r="D12" s="52">
        <v>-428</v>
      </c>
      <c r="E12" s="52">
        <v>-92</v>
      </c>
      <c r="F12" s="52">
        <v>-481</v>
      </c>
      <c r="G12" s="52">
        <v>0</v>
      </c>
      <c r="H12" s="52">
        <f t="shared" si="0"/>
        <v>-1001</v>
      </c>
      <c r="I12" s="52">
        <v>0</v>
      </c>
      <c r="J12" s="52">
        <f t="shared" si="1"/>
        <v>-1001</v>
      </c>
      <c r="K12" s="47"/>
      <c r="L12" s="235" t="s">
        <v>207</v>
      </c>
      <c r="M12" s="236"/>
      <c r="N12" s="52">
        <v>-428</v>
      </c>
      <c r="O12" s="52">
        <v>-92</v>
      </c>
      <c r="P12" s="52">
        <v>-481</v>
      </c>
      <c r="Q12" s="52">
        <v>0</v>
      </c>
      <c r="R12" s="52">
        <f t="shared" si="2"/>
        <v>-1001</v>
      </c>
      <c r="S12" s="52">
        <v>0</v>
      </c>
      <c r="T12" s="52">
        <f t="shared" si="3"/>
        <v>-1001</v>
      </c>
    </row>
    <row r="13" spans="2:20" ht="11.1" customHeight="1" x14ac:dyDescent="0.2">
      <c r="B13" s="237" t="s">
        <v>208</v>
      </c>
      <c r="C13" s="236"/>
      <c r="D13" s="52">
        <v>0</v>
      </c>
      <c r="E13" s="52">
        <v>0</v>
      </c>
      <c r="F13" s="52">
        <v>157</v>
      </c>
      <c r="G13" s="52">
        <v>0</v>
      </c>
      <c r="H13" s="52">
        <f t="shared" si="0"/>
        <v>157</v>
      </c>
      <c r="I13" s="52"/>
      <c r="J13" s="52">
        <f t="shared" si="1"/>
        <v>157</v>
      </c>
      <c r="K13" s="47"/>
      <c r="L13" s="237" t="s">
        <v>208</v>
      </c>
      <c r="M13" s="236"/>
      <c r="N13" s="52">
        <v>0</v>
      </c>
      <c r="O13" s="52">
        <v>0</v>
      </c>
      <c r="P13" s="52">
        <v>157</v>
      </c>
      <c r="Q13" s="52">
        <v>0</v>
      </c>
      <c r="R13" s="52">
        <f t="shared" si="2"/>
        <v>157</v>
      </c>
      <c r="S13" s="52"/>
      <c r="T13" s="52">
        <f t="shared" si="3"/>
        <v>157</v>
      </c>
    </row>
    <row r="14" spans="2:20" ht="11.1" customHeight="1" x14ac:dyDescent="0.2">
      <c r="B14" s="237" t="s">
        <v>27</v>
      </c>
      <c r="C14" s="236"/>
      <c r="D14" s="52"/>
      <c r="E14" s="52"/>
      <c r="F14" s="52"/>
      <c r="G14" s="52"/>
      <c r="H14" s="52">
        <f t="shared" si="0"/>
        <v>0</v>
      </c>
      <c r="I14" s="52">
        <v>0</v>
      </c>
      <c r="J14" s="52">
        <f t="shared" si="1"/>
        <v>0</v>
      </c>
      <c r="K14" s="47"/>
      <c r="L14" s="237" t="s">
        <v>27</v>
      </c>
      <c r="M14" s="236"/>
      <c r="N14" s="52"/>
      <c r="O14" s="52"/>
      <c r="P14" s="52"/>
      <c r="Q14" s="52"/>
      <c r="R14" s="52">
        <f t="shared" si="2"/>
        <v>0</v>
      </c>
      <c r="S14" s="52">
        <v>0</v>
      </c>
      <c r="T14" s="52">
        <f t="shared" si="3"/>
        <v>0</v>
      </c>
    </row>
    <row r="15" spans="2:20" ht="11.1" customHeight="1" x14ac:dyDescent="0.2">
      <c r="B15" s="232" t="s">
        <v>209</v>
      </c>
      <c r="C15" s="232"/>
      <c r="D15" s="49">
        <f>D11+D12+D13+D14</f>
        <v>3944</v>
      </c>
      <c r="E15" s="49">
        <f>E11+E12+E13+E14</f>
        <v>5753</v>
      </c>
      <c r="F15" s="49">
        <f>F11+F12+F13+F14</f>
        <v>10546</v>
      </c>
      <c r="G15" s="49">
        <f>G11+G12+G13+G14</f>
        <v>-776</v>
      </c>
      <c r="H15" s="49">
        <f t="shared" si="0"/>
        <v>19467</v>
      </c>
      <c r="I15" s="49">
        <f>I11+I12+I14</f>
        <v>682</v>
      </c>
      <c r="J15" s="49">
        <f t="shared" si="1"/>
        <v>20149</v>
      </c>
      <c r="K15" s="47"/>
      <c r="L15" s="232" t="s">
        <v>209</v>
      </c>
      <c r="M15" s="232"/>
      <c r="N15" s="49">
        <f>N11+N12+N13+N14</f>
        <v>3944</v>
      </c>
      <c r="O15" s="49">
        <f>O11+O12+O13+O14</f>
        <v>5753</v>
      </c>
      <c r="P15" s="49">
        <f>P11+P12+P13+P14</f>
        <v>10546</v>
      </c>
      <c r="Q15" s="49">
        <f>Q11+Q12+Q13+Q14</f>
        <v>-776</v>
      </c>
      <c r="R15" s="49">
        <f t="shared" si="2"/>
        <v>19467</v>
      </c>
      <c r="S15" s="49">
        <f>S11+S12+S14</f>
        <v>682</v>
      </c>
      <c r="T15" s="49">
        <f t="shared" si="3"/>
        <v>20149</v>
      </c>
    </row>
    <row r="16" spans="2:20" ht="11.1" customHeight="1" x14ac:dyDescent="0.2">
      <c r="B16" s="77" t="s">
        <v>22</v>
      </c>
      <c r="C16" s="78"/>
      <c r="D16" s="49">
        <v>5272</v>
      </c>
      <c r="E16" s="49">
        <v>2923</v>
      </c>
      <c r="F16" s="49">
        <v>1842</v>
      </c>
      <c r="G16" s="49">
        <v>0</v>
      </c>
      <c r="H16" s="49">
        <f t="shared" si="0"/>
        <v>10037</v>
      </c>
      <c r="I16" s="49">
        <v>0</v>
      </c>
      <c r="J16" s="49">
        <f t="shared" si="1"/>
        <v>10037</v>
      </c>
      <c r="K16" s="47"/>
      <c r="L16" s="77" t="s">
        <v>22</v>
      </c>
      <c r="M16" s="78"/>
      <c r="N16" s="49">
        <v>5272</v>
      </c>
      <c r="O16" s="49">
        <v>2923</v>
      </c>
      <c r="P16" s="49">
        <v>1842</v>
      </c>
      <c r="Q16" s="49">
        <v>0</v>
      </c>
      <c r="R16" s="49">
        <f t="shared" si="2"/>
        <v>10037</v>
      </c>
      <c r="S16" s="49">
        <v>0</v>
      </c>
      <c r="T16" s="49">
        <f t="shared" si="3"/>
        <v>10037</v>
      </c>
    </row>
    <row r="17" spans="2:25" ht="11.1" customHeight="1" x14ac:dyDescent="0.2">
      <c r="B17" s="233" t="s">
        <v>23</v>
      </c>
      <c r="C17" s="234"/>
      <c r="D17" s="49">
        <f>D15+D16</f>
        <v>9216</v>
      </c>
      <c r="E17" s="49">
        <f t="shared" ref="E17:G17" si="4">E15+E16</f>
        <v>8676</v>
      </c>
      <c r="F17" s="49">
        <f t="shared" si="4"/>
        <v>12388</v>
      </c>
      <c r="G17" s="49">
        <f t="shared" si="4"/>
        <v>-776</v>
      </c>
      <c r="H17" s="49">
        <f t="shared" si="0"/>
        <v>29504</v>
      </c>
      <c r="I17" s="49">
        <f t="shared" ref="I17" si="5">I15+I16</f>
        <v>682</v>
      </c>
      <c r="J17" s="49">
        <f t="shared" si="1"/>
        <v>30186</v>
      </c>
      <c r="K17" s="47"/>
      <c r="L17" s="233" t="s">
        <v>23</v>
      </c>
      <c r="M17" s="234"/>
      <c r="N17" s="49">
        <f>N15+N16</f>
        <v>9216</v>
      </c>
      <c r="O17" s="49">
        <f t="shared" ref="O17:Q17" si="6">O15+O16</f>
        <v>8676</v>
      </c>
      <c r="P17" s="49">
        <f t="shared" si="6"/>
        <v>12388</v>
      </c>
      <c r="Q17" s="49">
        <f t="shared" si="6"/>
        <v>-776</v>
      </c>
      <c r="R17" s="49">
        <f t="shared" si="2"/>
        <v>29504</v>
      </c>
      <c r="S17" s="49">
        <f t="shared" ref="S17" si="7">S15+S16</f>
        <v>682</v>
      </c>
      <c r="T17" s="49">
        <f t="shared" si="3"/>
        <v>30186</v>
      </c>
      <c r="Y17" s="91" t="s">
        <v>231</v>
      </c>
    </row>
    <row r="18" spans="2:25" ht="11.1" customHeight="1" x14ac:dyDescent="0.2">
      <c r="B18" s="83"/>
      <c r="C18" s="83"/>
      <c r="D18" s="84"/>
      <c r="E18" s="84"/>
      <c r="F18" s="84"/>
      <c r="G18" s="84"/>
      <c r="H18" s="84"/>
      <c r="I18" s="84"/>
      <c r="J18" s="84"/>
      <c r="K18" s="47"/>
      <c r="L18" s="83"/>
      <c r="M18" s="83"/>
      <c r="N18" s="84"/>
      <c r="O18" s="84"/>
      <c r="P18" s="84"/>
      <c r="Q18" s="84"/>
      <c r="R18" s="84"/>
      <c r="S18" s="84"/>
      <c r="T18" s="84"/>
    </row>
    <row r="19" spans="2:25" s="47" customFormat="1" ht="11.1" customHeight="1" x14ac:dyDescent="0.2">
      <c r="B19" s="79"/>
      <c r="C19" s="80"/>
      <c r="D19" s="79"/>
      <c r="E19" s="79"/>
      <c r="F19" s="79"/>
      <c r="G19" s="79"/>
      <c r="H19" s="79"/>
      <c r="I19" s="79"/>
      <c r="J19" s="79"/>
      <c r="L19" s="79"/>
      <c r="M19" s="80"/>
      <c r="N19" s="79"/>
      <c r="O19" s="79"/>
      <c r="P19" s="79"/>
      <c r="Q19" s="79"/>
      <c r="R19" s="79"/>
      <c r="S19" s="79"/>
      <c r="T19" s="79"/>
    </row>
    <row r="20" spans="2:25" s="47" customFormat="1" ht="11.1" customHeight="1" x14ac:dyDescent="0.2">
      <c r="B20" s="244" t="s">
        <v>59</v>
      </c>
      <c r="C20" s="245"/>
      <c r="D20" s="241" t="s">
        <v>196</v>
      </c>
      <c r="E20" s="241" t="s">
        <v>197</v>
      </c>
      <c r="F20" s="241" t="s">
        <v>198</v>
      </c>
      <c r="G20" s="241" t="s">
        <v>199</v>
      </c>
      <c r="H20" s="241" t="s">
        <v>200</v>
      </c>
      <c r="I20" s="241" t="s">
        <v>201</v>
      </c>
      <c r="J20" s="241" t="s">
        <v>202</v>
      </c>
      <c r="L20" s="244" t="s">
        <v>59</v>
      </c>
      <c r="M20" s="245"/>
      <c r="N20" s="241" t="s">
        <v>196</v>
      </c>
      <c r="O20" s="241" t="s">
        <v>197</v>
      </c>
      <c r="P20" s="241" t="s">
        <v>198</v>
      </c>
      <c r="Q20" s="241" t="s">
        <v>199</v>
      </c>
      <c r="R20" s="241" t="s">
        <v>200</v>
      </c>
      <c r="S20" s="241" t="s">
        <v>201</v>
      </c>
      <c r="T20" s="241" t="s">
        <v>202</v>
      </c>
    </row>
    <row r="21" spans="2:25" s="47" customFormat="1" ht="11.1" customHeight="1" x14ac:dyDescent="0.2">
      <c r="B21" s="246"/>
      <c r="C21" s="247"/>
      <c r="D21" s="242"/>
      <c r="E21" s="242"/>
      <c r="F21" s="242"/>
      <c r="G21" s="242"/>
      <c r="H21" s="242"/>
      <c r="I21" s="242"/>
      <c r="J21" s="243"/>
      <c r="L21" s="246"/>
      <c r="M21" s="247"/>
      <c r="N21" s="242"/>
      <c r="O21" s="242"/>
      <c r="P21" s="242"/>
      <c r="Q21" s="242"/>
      <c r="R21" s="242"/>
      <c r="S21" s="242"/>
      <c r="T21" s="243"/>
    </row>
    <row r="22" spans="2:25" s="47" customFormat="1" ht="11.1" customHeight="1" x14ac:dyDescent="0.2">
      <c r="B22" s="239" t="s">
        <v>213</v>
      </c>
      <c r="C22" s="240"/>
      <c r="D22" s="240"/>
      <c r="E22" s="240"/>
      <c r="F22" s="240"/>
      <c r="G22" s="240"/>
      <c r="H22" s="73"/>
      <c r="I22" s="73"/>
      <c r="J22" s="73"/>
      <c r="L22" s="239" t="s">
        <v>214</v>
      </c>
      <c r="M22" s="240"/>
      <c r="N22" s="240"/>
      <c r="O22" s="240"/>
      <c r="P22" s="240"/>
      <c r="Q22" s="240"/>
      <c r="R22" s="73"/>
      <c r="S22" s="73"/>
      <c r="T22" s="73"/>
    </row>
    <row r="23" spans="2:25" s="47" customFormat="1" ht="11.1" customHeight="1" x14ac:dyDescent="0.2">
      <c r="B23" s="238" t="s">
        <v>204</v>
      </c>
      <c r="C23" s="238"/>
      <c r="D23" s="52">
        <v>174599</v>
      </c>
      <c r="E23" s="52">
        <v>94169</v>
      </c>
      <c r="F23" s="52">
        <v>115768</v>
      </c>
      <c r="G23" s="52">
        <v>0</v>
      </c>
      <c r="H23" s="52">
        <f t="shared" ref="H23:H34" si="8">SUM(D23:G23)</f>
        <v>384536</v>
      </c>
      <c r="I23" s="52">
        <v>11540</v>
      </c>
      <c r="J23" s="52">
        <f t="shared" ref="J23:J34" si="9">H23+I23</f>
        <v>396076</v>
      </c>
      <c r="L23" s="238" t="s">
        <v>204</v>
      </c>
      <c r="M23" s="238"/>
      <c r="N23" s="52">
        <f t="shared" ref="N23:Q24" si="10">D23-D6</f>
        <v>98059</v>
      </c>
      <c r="O23" s="52">
        <f t="shared" si="10"/>
        <v>45297</v>
      </c>
      <c r="P23" s="52">
        <f t="shared" si="10"/>
        <v>58943</v>
      </c>
      <c r="Q23" s="52">
        <f t="shared" si="10"/>
        <v>0</v>
      </c>
      <c r="R23" s="52">
        <f>SUM(N23:Q23)</f>
        <v>202299</v>
      </c>
      <c r="S23" s="52">
        <f>I23-I6</f>
        <v>5594</v>
      </c>
      <c r="T23" s="52">
        <f t="shared" ref="T23:T34" si="11">R23+S23</f>
        <v>207893</v>
      </c>
    </row>
    <row r="24" spans="2:25" s="47" customFormat="1" ht="11.1" customHeight="1" x14ac:dyDescent="0.2">
      <c r="B24" s="238" t="s">
        <v>33</v>
      </c>
      <c r="C24" s="238"/>
      <c r="D24" s="52">
        <v>121438</v>
      </c>
      <c r="E24" s="52">
        <v>70137</v>
      </c>
      <c r="F24" s="52">
        <v>69623</v>
      </c>
      <c r="G24" s="52">
        <v>0</v>
      </c>
      <c r="H24" s="52">
        <f t="shared" si="8"/>
        <v>261198</v>
      </c>
      <c r="I24" s="52">
        <v>10382</v>
      </c>
      <c r="J24" s="52">
        <f t="shared" si="9"/>
        <v>271580</v>
      </c>
      <c r="L24" s="238" t="s">
        <v>33</v>
      </c>
      <c r="M24" s="238"/>
      <c r="N24" s="52">
        <f t="shared" si="10"/>
        <v>67767</v>
      </c>
      <c r="O24" s="52">
        <f t="shared" si="10"/>
        <v>34922</v>
      </c>
      <c r="P24" s="52">
        <f t="shared" si="10"/>
        <v>34902</v>
      </c>
      <c r="Q24" s="52">
        <f t="shared" si="10"/>
        <v>0</v>
      </c>
      <c r="R24" s="52">
        <f t="shared" ref="R24:R34" si="12">SUM(N24:Q24)</f>
        <v>137591</v>
      </c>
      <c r="S24" s="52">
        <f>I24-I7</f>
        <v>5162</v>
      </c>
      <c r="T24" s="52">
        <f t="shared" si="11"/>
        <v>142753</v>
      </c>
    </row>
    <row r="25" spans="2:25" s="47" customFormat="1" ht="11.1" customHeight="1" x14ac:dyDescent="0.2">
      <c r="B25" s="232" t="s">
        <v>205</v>
      </c>
      <c r="C25" s="232"/>
      <c r="D25" s="49">
        <f>D23-D24</f>
        <v>53161</v>
      </c>
      <c r="E25" s="49">
        <f>E23-E24</f>
        <v>24032</v>
      </c>
      <c r="F25" s="49">
        <f>F23-F24</f>
        <v>46145</v>
      </c>
      <c r="G25" s="49">
        <f>G23-G24</f>
        <v>0</v>
      </c>
      <c r="H25" s="49">
        <f t="shared" si="8"/>
        <v>123338</v>
      </c>
      <c r="I25" s="49">
        <f>I23-I24</f>
        <v>1158</v>
      </c>
      <c r="J25" s="49">
        <f t="shared" si="9"/>
        <v>124496</v>
      </c>
      <c r="L25" s="232" t="s">
        <v>205</v>
      </c>
      <c r="M25" s="232"/>
      <c r="N25" s="49">
        <f>N23-N24</f>
        <v>30292</v>
      </c>
      <c r="O25" s="49">
        <f>O23-O24</f>
        <v>10375</v>
      </c>
      <c r="P25" s="49">
        <f>P23-P24</f>
        <v>24041</v>
      </c>
      <c r="Q25" s="49">
        <f>Q23-Q24</f>
        <v>0</v>
      </c>
      <c r="R25" s="49">
        <f t="shared" si="12"/>
        <v>64708</v>
      </c>
      <c r="S25" s="49">
        <f>S23-S24</f>
        <v>432</v>
      </c>
      <c r="T25" s="49">
        <f t="shared" si="11"/>
        <v>65140</v>
      </c>
    </row>
    <row r="26" spans="2:25" s="47" customFormat="1" ht="11.1" customHeight="1" x14ac:dyDescent="0.2">
      <c r="B26" s="235" t="s">
        <v>4</v>
      </c>
      <c r="C26" s="236"/>
      <c r="D26" s="52">
        <v>8342</v>
      </c>
      <c r="E26" s="52">
        <v>2648</v>
      </c>
      <c r="F26" s="52">
        <v>7527</v>
      </c>
      <c r="G26" s="52">
        <v>120</v>
      </c>
      <c r="H26" s="52">
        <f t="shared" si="8"/>
        <v>18637</v>
      </c>
      <c r="I26" s="52">
        <v>110</v>
      </c>
      <c r="J26" s="52">
        <f t="shared" si="9"/>
        <v>18747</v>
      </c>
      <c r="L26" s="235" t="s">
        <v>4</v>
      </c>
      <c r="M26" s="236"/>
      <c r="N26" s="52">
        <f t="shared" ref="N26:Q27" si="13">D26-D9</f>
        <v>4371</v>
      </c>
      <c r="O26" s="52">
        <f t="shared" si="13"/>
        <v>1478</v>
      </c>
      <c r="P26" s="52">
        <f t="shared" si="13"/>
        <v>4047</v>
      </c>
      <c r="Q26" s="52">
        <f t="shared" si="13"/>
        <v>60</v>
      </c>
      <c r="R26" s="52">
        <f t="shared" si="12"/>
        <v>9956</v>
      </c>
      <c r="S26" s="52">
        <f>I26-I9</f>
        <v>66</v>
      </c>
      <c r="T26" s="52">
        <f t="shared" si="11"/>
        <v>10022</v>
      </c>
    </row>
    <row r="27" spans="2:25" s="47" customFormat="1" ht="11.1" customHeight="1" x14ac:dyDescent="0.2">
      <c r="B27" s="235" t="s">
        <v>5</v>
      </c>
      <c r="C27" s="236"/>
      <c r="D27" s="52">
        <v>29213</v>
      </c>
      <c r="E27" s="52">
        <v>11394</v>
      </c>
      <c r="F27" s="52">
        <v>16945</v>
      </c>
      <c r="G27" s="52">
        <v>1348.44</v>
      </c>
      <c r="H27" s="52">
        <f t="shared" si="8"/>
        <v>58900.44</v>
      </c>
      <c r="I27" s="52">
        <v>210</v>
      </c>
      <c r="J27" s="52">
        <f t="shared" si="9"/>
        <v>59110.44</v>
      </c>
      <c r="L27" s="235" t="s">
        <v>5</v>
      </c>
      <c r="M27" s="236"/>
      <c r="N27" s="52">
        <f t="shared" si="13"/>
        <v>14687</v>
      </c>
      <c r="O27" s="52">
        <f t="shared" si="13"/>
        <v>4752</v>
      </c>
      <c r="P27" s="52">
        <f t="shared" si="13"/>
        <v>9191</v>
      </c>
      <c r="Q27" s="52">
        <f t="shared" si="13"/>
        <v>632.44000000000005</v>
      </c>
      <c r="R27" s="52">
        <f t="shared" si="12"/>
        <v>29262.44</v>
      </c>
      <c r="S27" s="52">
        <f>I27-I10</f>
        <v>210</v>
      </c>
      <c r="T27" s="52">
        <f t="shared" si="11"/>
        <v>29472.44</v>
      </c>
    </row>
    <row r="28" spans="2:25" s="47" customFormat="1" ht="11.1" customHeight="1" x14ac:dyDescent="0.2">
      <c r="B28" s="232" t="s">
        <v>206</v>
      </c>
      <c r="C28" s="232"/>
      <c r="D28" s="49">
        <f>D25-D26-D27</f>
        <v>15606</v>
      </c>
      <c r="E28" s="49">
        <f>E25-E26-E27</f>
        <v>9990</v>
      </c>
      <c r="F28" s="49">
        <f>F25-F26-F27</f>
        <v>21673</v>
      </c>
      <c r="G28" s="49">
        <f>G25-G26-G27</f>
        <v>-1468.44</v>
      </c>
      <c r="H28" s="49">
        <f t="shared" si="8"/>
        <v>45800.56</v>
      </c>
      <c r="I28" s="49">
        <f>I25-I26-I27</f>
        <v>838</v>
      </c>
      <c r="J28" s="49">
        <f t="shared" si="9"/>
        <v>46638.559999999998</v>
      </c>
      <c r="L28" s="232" t="s">
        <v>206</v>
      </c>
      <c r="M28" s="232"/>
      <c r="N28" s="49">
        <f>N25-N26-N27</f>
        <v>11234</v>
      </c>
      <c r="O28" s="49">
        <f>O25-O26-O27</f>
        <v>4145</v>
      </c>
      <c r="P28" s="49">
        <f>P25-P26-P27</f>
        <v>10803</v>
      </c>
      <c r="Q28" s="49">
        <f>Q25-Q26-Q27</f>
        <v>-692.44</v>
      </c>
      <c r="R28" s="49">
        <f t="shared" si="12"/>
        <v>25489.56</v>
      </c>
      <c r="S28" s="49">
        <f>S25-S26-S27</f>
        <v>156</v>
      </c>
      <c r="T28" s="49">
        <f t="shared" si="11"/>
        <v>25645.56</v>
      </c>
    </row>
    <row r="29" spans="2:25" s="47" customFormat="1" ht="11.1" customHeight="1" x14ac:dyDescent="0.2">
      <c r="B29" s="235" t="s">
        <v>207</v>
      </c>
      <c r="C29" s="236"/>
      <c r="D29" s="52">
        <v>-762</v>
      </c>
      <c r="E29" s="52">
        <v>21</v>
      </c>
      <c r="F29" s="52">
        <v>-835</v>
      </c>
      <c r="G29" s="52">
        <v>0</v>
      </c>
      <c r="H29" s="52">
        <f t="shared" si="8"/>
        <v>-1576</v>
      </c>
      <c r="I29" s="52">
        <v>0</v>
      </c>
      <c r="J29" s="52">
        <f t="shared" si="9"/>
        <v>-1576</v>
      </c>
      <c r="L29" s="235" t="s">
        <v>207</v>
      </c>
      <c r="M29" s="236"/>
      <c r="N29" s="52">
        <f t="shared" ref="N29:Q31" si="14">D29-D12</f>
        <v>-334</v>
      </c>
      <c r="O29" s="52">
        <f t="shared" si="14"/>
        <v>113</v>
      </c>
      <c r="P29" s="52">
        <f t="shared" si="14"/>
        <v>-354</v>
      </c>
      <c r="Q29" s="52">
        <f t="shared" si="14"/>
        <v>0</v>
      </c>
      <c r="R29" s="52">
        <f t="shared" si="12"/>
        <v>-575</v>
      </c>
      <c r="S29" s="52">
        <f>I29-I12</f>
        <v>0</v>
      </c>
      <c r="T29" s="52">
        <f t="shared" si="11"/>
        <v>-575</v>
      </c>
    </row>
    <row r="30" spans="2:25" s="47" customFormat="1" ht="11.1" customHeight="1" x14ac:dyDescent="0.2">
      <c r="B30" s="237" t="s">
        <v>208</v>
      </c>
      <c r="C30" s="236"/>
      <c r="D30" s="52">
        <v>0</v>
      </c>
      <c r="E30" s="52">
        <v>13</v>
      </c>
      <c r="F30" s="52">
        <v>440</v>
      </c>
      <c r="G30" s="52">
        <v>0</v>
      </c>
      <c r="H30" s="52">
        <f t="shared" si="8"/>
        <v>453</v>
      </c>
      <c r="I30" s="52">
        <v>0</v>
      </c>
      <c r="J30" s="52">
        <f t="shared" si="9"/>
        <v>453</v>
      </c>
      <c r="L30" s="237" t="s">
        <v>208</v>
      </c>
      <c r="M30" s="236"/>
      <c r="N30" s="52">
        <f t="shared" si="14"/>
        <v>0</v>
      </c>
      <c r="O30" s="52">
        <f t="shared" si="14"/>
        <v>13</v>
      </c>
      <c r="P30" s="52">
        <f t="shared" si="14"/>
        <v>283</v>
      </c>
      <c r="Q30" s="52">
        <f t="shared" si="14"/>
        <v>0</v>
      </c>
      <c r="R30" s="52">
        <f t="shared" si="12"/>
        <v>296</v>
      </c>
      <c r="S30" s="52">
        <f>I30-I13</f>
        <v>0</v>
      </c>
      <c r="T30" s="52">
        <f t="shared" si="11"/>
        <v>296</v>
      </c>
    </row>
    <row r="31" spans="2:25" s="47" customFormat="1" ht="11.1" customHeight="1" x14ac:dyDescent="0.2">
      <c r="B31" s="237" t="s">
        <v>27</v>
      </c>
      <c r="C31" s="236"/>
      <c r="D31" s="52">
        <v>0</v>
      </c>
      <c r="E31" s="52">
        <v>0</v>
      </c>
      <c r="F31" s="52">
        <v>0</v>
      </c>
      <c r="G31" s="52">
        <v>0</v>
      </c>
      <c r="H31" s="52">
        <f t="shared" si="8"/>
        <v>0</v>
      </c>
      <c r="I31" s="52">
        <v>0</v>
      </c>
      <c r="J31" s="52">
        <f t="shared" si="9"/>
        <v>0</v>
      </c>
      <c r="L31" s="237" t="s">
        <v>27</v>
      </c>
      <c r="M31" s="236"/>
      <c r="N31" s="52">
        <f t="shared" si="14"/>
        <v>0</v>
      </c>
      <c r="O31" s="52">
        <f t="shared" si="14"/>
        <v>0</v>
      </c>
      <c r="P31" s="52">
        <f t="shared" si="14"/>
        <v>0</v>
      </c>
      <c r="Q31" s="52">
        <f t="shared" si="14"/>
        <v>0</v>
      </c>
      <c r="R31" s="52">
        <f t="shared" si="12"/>
        <v>0</v>
      </c>
      <c r="S31" s="52">
        <f>I31-I14</f>
        <v>0</v>
      </c>
      <c r="T31" s="52">
        <f t="shared" si="11"/>
        <v>0</v>
      </c>
    </row>
    <row r="32" spans="2:25" s="47" customFormat="1" ht="11.1" customHeight="1" x14ac:dyDescent="0.2">
      <c r="B32" s="232" t="s">
        <v>209</v>
      </c>
      <c r="C32" s="232"/>
      <c r="D32" s="49">
        <f>D28+D29+D30+D31</f>
        <v>14844</v>
      </c>
      <c r="E32" s="49">
        <f>E28+E29+E30+E31</f>
        <v>10024</v>
      </c>
      <c r="F32" s="49">
        <f>F28+F29+F30+F31</f>
        <v>21278</v>
      </c>
      <c r="G32" s="49">
        <f>G28+G29+G30+G31</f>
        <v>-1468.44</v>
      </c>
      <c r="H32" s="49">
        <f t="shared" si="8"/>
        <v>44677.56</v>
      </c>
      <c r="I32" s="49">
        <f>I28+I29+I31</f>
        <v>838</v>
      </c>
      <c r="J32" s="49">
        <f t="shared" si="9"/>
        <v>45515.56</v>
      </c>
      <c r="L32" s="232" t="s">
        <v>209</v>
      </c>
      <c r="M32" s="232"/>
      <c r="N32" s="49">
        <f t="shared" ref="N32:Q32" si="15">N28+N29+N30+N31</f>
        <v>10900</v>
      </c>
      <c r="O32" s="49">
        <f t="shared" si="15"/>
        <v>4271</v>
      </c>
      <c r="P32" s="49">
        <f t="shared" si="15"/>
        <v>10732</v>
      </c>
      <c r="Q32" s="49">
        <f t="shared" si="15"/>
        <v>-692.44</v>
      </c>
      <c r="R32" s="49">
        <f t="shared" si="12"/>
        <v>25210.560000000001</v>
      </c>
      <c r="S32" s="49">
        <f>S28+S29+S31</f>
        <v>156</v>
      </c>
      <c r="T32" s="49">
        <f t="shared" si="11"/>
        <v>25366.560000000001</v>
      </c>
    </row>
    <row r="33" spans="2:20" s="47" customFormat="1" ht="11.1" customHeight="1" x14ac:dyDescent="0.2">
      <c r="B33" s="77" t="s">
        <v>22</v>
      </c>
      <c r="C33" s="78"/>
      <c r="D33" s="49">
        <v>10434</v>
      </c>
      <c r="E33" s="49">
        <v>6063</v>
      </c>
      <c r="F33" s="49">
        <v>3879</v>
      </c>
      <c r="G33" s="49">
        <v>0</v>
      </c>
      <c r="H33" s="49">
        <f t="shared" si="8"/>
        <v>20376</v>
      </c>
      <c r="I33" s="49">
        <v>0</v>
      </c>
      <c r="J33" s="49">
        <f t="shared" si="9"/>
        <v>20376</v>
      </c>
      <c r="L33" s="77" t="s">
        <v>22</v>
      </c>
      <c r="M33" s="78"/>
      <c r="N33" s="49">
        <f>D33-D16</f>
        <v>5162</v>
      </c>
      <c r="O33" s="49">
        <f>E33-E16</f>
        <v>3140</v>
      </c>
      <c r="P33" s="49">
        <f>F33-F16</f>
        <v>2037</v>
      </c>
      <c r="Q33" s="49">
        <f>G33-G16</f>
        <v>0</v>
      </c>
      <c r="R33" s="49">
        <f t="shared" si="12"/>
        <v>10339</v>
      </c>
      <c r="S33" s="49">
        <f>I33-I16</f>
        <v>0</v>
      </c>
      <c r="T33" s="49">
        <f t="shared" si="11"/>
        <v>10339</v>
      </c>
    </row>
    <row r="34" spans="2:20" s="47" customFormat="1" ht="11.1" customHeight="1" x14ac:dyDescent="0.2">
      <c r="B34" s="233" t="s">
        <v>23</v>
      </c>
      <c r="C34" s="234"/>
      <c r="D34" s="49">
        <f>D32+D33</f>
        <v>25278</v>
      </c>
      <c r="E34" s="49">
        <f t="shared" ref="E34:G34" si="16">E32+E33</f>
        <v>16087</v>
      </c>
      <c r="F34" s="49">
        <f t="shared" si="16"/>
        <v>25157</v>
      </c>
      <c r="G34" s="49">
        <f t="shared" si="16"/>
        <v>-1468.44</v>
      </c>
      <c r="H34" s="49">
        <f t="shared" si="8"/>
        <v>65053.56</v>
      </c>
      <c r="I34" s="49">
        <f t="shared" ref="I34" si="17">I32+I33</f>
        <v>838</v>
      </c>
      <c r="J34" s="49">
        <f t="shared" si="9"/>
        <v>65891.56</v>
      </c>
      <c r="L34" s="233" t="s">
        <v>23</v>
      </c>
      <c r="M34" s="234"/>
      <c r="N34" s="49">
        <f>N32+N33</f>
        <v>16062</v>
      </c>
      <c r="O34" s="49">
        <f t="shared" ref="O34:Q34" si="18">O32+O33</f>
        <v>7411</v>
      </c>
      <c r="P34" s="49">
        <f t="shared" si="18"/>
        <v>12769</v>
      </c>
      <c r="Q34" s="49">
        <f t="shared" si="18"/>
        <v>-692.44</v>
      </c>
      <c r="R34" s="49">
        <f t="shared" si="12"/>
        <v>35549.56</v>
      </c>
      <c r="S34" s="49">
        <f>S32+S33</f>
        <v>156</v>
      </c>
      <c r="T34" s="49">
        <f t="shared" si="11"/>
        <v>35705.56</v>
      </c>
    </row>
    <row r="35" spans="2:20" s="47" customFormat="1" ht="11.1" customHeight="1" x14ac:dyDescent="0.2">
      <c r="B35" s="83"/>
      <c r="C35" s="83"/>
      <c r="D35" s="84"/>
      <c r="E35" s="84"/>
      <c r="F35" s="84"/>
      <c r="G35" s="84"/>
      <c r="H35" s="84"/>
      <c r="I35" s="84"/>
      <c r="J35" s="85"/>
      <c r="L35" s="83"/>
      <c r="M35" s="83"/>
      <c r="N35" s="84"/>
      <c r="O35" s="84"/>
      <c r="P35" s="84"/>
      <c r="Q35" s="84"/>
      <c r="R35" s="84"/>
      <c r="S35" s="84"/>
      <c r="T35" s="85"/>
    </row>
    <row r="36" spans="2:20" ht="11.1" customHeight="1" x14ac:dyDescent="0.2">
      <c r="B36" s="48" t="s">
        <v>195</v>
      </c>
      <c r="C36" s="72"/>
      <c r="D36" s="48"/>
      <c r="E36" s="48"/>
      <c r="F36" s="48"/>
      <c r="G36" s="48"/>
      <c r="H36" s="48"/>
      <c r="I36" s="48"/>
      <c r="J36" s="81"/>
      <c r="L36" s="48" t="s">
        <v>195</v>
      </c>
      <c r="M36" s="72"/>
      <c r="N36" s="48"/>
      <c r="O36" s="48"/>
      <c r="P36" s="48"/>
      <c r="Q36" s="48"/>
      <c r="R36" s="48"/>
      <c r="S36" s="48"/>
      <c r="T36" s="81"/>
    </row>
    <row r="37" spans="2:20" ht="11.1" customHeight="1" x14ac:dyDescent="0.2">
      <c r="B37" s="244" t="s">
        <v>59</v>
      </c>
      <c r="C37" s="245"/>
      <c r="D37" s="241" t="s">
        <v>196</v>
      </c>
      <c r="E37" s="241" t="s">
        <v>197</v>
      </c>
      <c r="F37" s="241" t="s">
        <v>198</v>
      </c>
      <c r="G37" s="241" t="s">
        <v>199</v>
      </c>
      <c r="H37" s="241" t="s">
        <v>200</v>
      </c>
      <c r="I37" s="241" t="s">
        <v>201</v>
      </c>
      <c r="J37" s="241" t="s">
        <v>202</v>
      </c>
      <c r="L37" s="244" t="s">
        <v>59</v>
      </c>
      <c r="M37" s="245"/>
      <c r="N37" s="241" t="s">
        <v>196</v>
      </c>
      <c r="O37" s="241" t="s">
        <v>197</v>
      </c>
      <c r="P37" s="241" t="s">
        <v>198</v>
      </c>
      <c r="Q37" s="241" t="s">
        <v>199</v>
      </c>
      <c r="R37" s="241" t="s">
        <v>200</v>
      </c>
      <c r="S37" s="241" t="s">
        <v>201</v>
      </c>
      <c r="T37" s="241" t="s">
        <v>202</v>
      </c>
    </row>
    <row r="38" spans="2:20" ht="11.1" customHeight="1" x14ac:dyDescent="0.2">
      <c r="B38" s="246"/>
      <c r="C38" s="247"/>
      <c r="D38" s="242"/>
      <c r="E38" s="242"/>
      <c r="F38" s="242"/>
      <c r="G38" s="242"/>
      <c r="H38" s="242"/>
      <c r="I38" s="242"/>
      <c r="J38" s="242"/>
      <c r="L38" s="246"/>
      <c r="M38" s="247"/>
      <c r="N38" s="242"/>
      <c r="O38" s="242"/>
      <c r="P38" s="242"/>
      <c r="Q38" s="242"/>
      <c r="R38" s="242"/>
      <c r="S38" s="242"/>
      <c r="T38" s="242"/>
    </row>
    <row r="39" spans="2:20" ht="11.1" customHeight="1" x14ac:dyDescent="0.2">
      <c r="B39" s="239" t="s">
        <v>217</v>
      </c>
      <c r="C39" s="240"/>
      <c r="D39" s="240"/>
      <c r="E39" s="240"/>
      <c r="F39" s="240"/>
      <c r="G39" s="240"/>
      <c r="H39" s="73"/>
      <c r="I39" s="73"/>
      <c r="J39" s="82"/>
      <c r="L39" s="239" t="s">
        <v>218</v>
      </c>
      <c r="M39" s="240"/>
      <c r="N39" s="240"/>
      <c r="O39" s="240"/>
      <c r="P39" s="240"/>
      <c r="Q39" s="240"/>
      <c r="R39" s="73"/>
      <c r="S39" s="73"/>
      <c r="T39" s="82"/>
    </row>
    <row r="40" spans="2:20" ht="11.1" customHeight="1" x14ac:dyDescent="0.2">
      <c r="B40" s="238" t="s">
        <v>204</v>
      </c>
      <c r="C40" s="238"/>
      <c r="D40" s="52">
        <v>270615</v>
      </c>
      <c r="E40" s="52">
        <v>134927</v>
      </c>
      <c r="F40" s="52">
        <v>181171</v>
      </c>
      <c r="G40" s="52"/>
      <c r="H40" s="52">
        <f t="shared" ref="H40:H51" si="19">SUM(D40:G40)</f>
        <v>586713</v>
      </c>
      <c r="I40" s="52">
        <v>13967</v>
      </c>
      <c r="J40" s="52">
        <f>H40+I40</f>
        <v>600680</v>
      </c>
      <c r="L40" s="238" t="s">
        <v>204</v>
      </c>
      <c r="M40" s="238"/>
      <c r="N40" s="52">
        <f t="shared" ref="N40:Q41" si="20">D40-D23</f>
        <v>96016</v>
      </c>
      <c r="O40" s="52">
        <f t="shared" si="20"/>
        <v>40758</v>
      </c>
      <c r="P40" s="52">
        <f t="shared" si="20"/>
        <v>65403</v>
      </c>
      <c r="Q40" s="52">
        <f t="shared" si="20"/>
        <v>0</v>
      </c>
      <c r="R40" s="52">
        <f>SUM(N40:Q40)</f>
        <v>202177</v>
      </c>
      <c r="S40" s="52">
        <f>I40-I23</f>
        <v>2427</v>
      </c>
      <c r="T40" s="52">
        <f t="shared" ref="T40:T51" si="21">R40+S40</f>
        <v>204604</v>
      </c>
    </row>
    <row r="41" spans="2:20" ht="11.1" customHeight="1" x14ac:dyDescent="0.2">
      <c r="B41" s="238" t="s">
        <v>33</v>
      </c>
      <c r="C41" s="238"/>
      <c r="D41" s="52">
        <v>189787</v>
      </c>
      <c r="E41" s="52">
        <v>102925</v>
      </c>
      <c r="F41" s="52">
        <v>107647</v>
      </c>
      <c r="G41" s="52"/>
      <c r="H41" s="52">
        <f t="shared" si="19"/>
        <v>400359</v>
      </c>
      <c r="I41" s="52">
        <v>12525</v>
      </c>
      <c r="J41" s="52">
        <f t="shared" ref="J41:J51" si="22">H41+I41</f>
        <v>412884</v>
      </c>
      <c r="L41" s="238" t="s">
        <v>33</v>
      </c>
      <c r="M41" s="238"/>
      <c r="N41" s="52">
        <f t="shared" si="20"/>
        <v>68349</v>
      </c>
      <c r="O41" s="52">
        <f t="shared" si="20"/>
        <v>32788</v>
      </c>
      <c r="P41" s="52">
        <f t="shared" si="20"/>
        <v>38024</v>
      </c>
      <c r="Q41" s="52">
        <f t="shared" si="20"/>
        <v>0</v>
      </c>
      <c r="R41" s="52">
        <f t="shared" ref="R41:R51" si="23">SUM(N41:Q41)</f>
        <v>139161</v>
      </c>
      <c r="S41" s="52">
        <f>I41-I24</f>
        <v>2143</v>
      </c>
      <c r="T41" s="52">
        <f t="shared" si="21"/>
        <v>141304</v>
      </c>
    </row>
    <row r="42" spans="2:20" ht="11.1" customHeight="1" x14ac:dyDescent="0.2">
      <c r="B42" s="232" t="s">
        <v>205</v>
      </c>
      <c r="C42" s="232"/>
      <c r="D42" s="49">
        <f>D40-D41</f>
        <v>80828</v>
      </c>
      <c r="E42" s="49">
        <f>E40-E41</f>
        <v>32002</v>
      </c>
      <c r="F42" s="49">
        <f>F40-F41</f>
        <v>73524</v>
      </c>
      <c r="G42" s="49">
        <f>G40-G41</f>
        <v>0</v>
      </c>
      <c r="H42" s="49">
        <f t="shared" si="19"/>
        <v>186354</v>
      </c>
      <c r="I42" s="49">
        <f>I40-I41</f>
        <v>1442</v>
      </c>
      <c r="J42" s="49">
        <f t="shared" si="22"/>
        <v>187796</v>
      </c>
      <c r="L42" s="232" t="s">
        <v>205</v>
      </c>
      <c r="M42" s="232"/>
      <c r="N42" s="49">
        <f>N40-N41</f>
        <v>27667</v>
      </c>
      <c r="O42" s="49">
        <f>O40-O41</f>
        <v>7970</v>
      </c>
      <c r="P42" s="49">
        <f>P40-P41</f>
        <v>27379</v>
      </c>
      <c r="Q42" s="49">
        <f>Q40-Q41</f>
        <v>0</v>
      </c>
      <c r="R42" s="49">
        <f t="shared" si="23"/>
        <v>63016</v>
      </c>
      <c r="S42" s="49">
        <f>S40-S41</f>
        <v>284</v>
      </c>
      <c r="T42" s="49">
        <f t="shared" si="21"/>
        <v>63300</v>
      </c>
    </row>
    <row r="43" spans="2:20" ht="11.1" customHeight="1" x14ac:dyDescent="0.2">
      <c r="B43" s="235" t="s">
        <v>4</v>
      </c>
      <c r="C43" s="236"/>
      <c r="D43" s="52">
        <v>12333</v>
      </c>
      <c r="E43" s="52">
        <v>4339</v>
      </c>
      <c r="F43" s="52">
        <v>11945</v>
      </c>
      <c r="G43" s="52">
        <v>180</v>
      </c>
      <c r="H43" s="52">
        <f t="shared" si="19"/>
        <v>28797</v>
      </c>
      <c r="I43" s="52">
        <v>168</v>
      </c>
      <c r="J43" s="52">
        <f t="shared" si="22"/>
        <v>28965</v>
      </c>
      <c r="L43" s="235" t="s">
        <v>4</v>
      </c>
      <c r="M43" s="236"/>
      <c r="N43" s="52">
        <f t="shared" ref="N43:Q44" si="24">D43-D26</f>
        <v>3991</v>
      </c>
      <c r="O43" s="52">
        <f t="shared" si="24"/>
        <v>1691</v>
      </c>
      <c r="P43" s="52">
        <f t="shared" si="24"/>
        <v>4418</v>
      </c>
      <c r="Q43" s="52">
        <f t="shared" si="24"/>
        <v>60</v>
      </c>
      <c r="R43" s="52">
        <f t="shared" si="23"/>
        <v>10160</v>
      </c>
      <c r="S43" s="52">
        <f>I43-I26</f>
        <v>58</v>
      </c>
      <c r="T43" s="52">
        <f t="shared" si="21"/>
        <v>10218</v>
      </c>
    </row>
    <row r="44" spans="2:20" ht="11.1" customHeight="1" x14ac:dyDescent="0.2">
      <c r="B44" s="235" t="s">
        <v>5</v>
      </c>
      <c r="C44" s="236"/>
      <c r="D44" s="52">
        <v>42515</v>
      </c>
      <c r="E44" s="52">
        <v>16812</v>
      </c>
      <c r="F44" s="52">
        <v>25942</v>
      </c>
      <c r="G44" s="52">
        <v>2537</v>
      </c>
      <c r="H44" s="52">
        <f t="shared" si="19"/>
        <v>87806</v>
      </c>
      <c r="I44" s="52"/>
      <c r="J44" s="52">
        <f t="shared" si="22"/>
        <v>87806</v>
      </c>
      <c r="L44" s="235" t="s">
        <v>5</v>
      </c>
      <c r="M44" s="236"/>
      <c r="N44" s="52">
        <f t="shared" si="24"/>
        <v>13302</v>
      </c>
      <c r="O44" s="52">
        <f t="shared" si="24"/>
        <v>5418</v>
      </c>
      <c r="P44" s="52">
        <f t="shared" si="24"/>
        <v>8997</v>
      </c>
      <c r="Q44" s="52">
        <f t="shared" si="24"/>
        <v>1188.56</v>
      </c>
      <c r="R44" s="52">
        <f t="shared" si="23"/>
        <v>28905.56</v>
      </c>
      <c r="S44" s="52">
        <f>I44-I27</f>
        <v>-210</v>
      </c>
      <c r="T44" s="52">
        <f t="shared" si="21"/>
        <v>28695.56</v>
      </c>
    </row>
    <row r="45" spans="2:20" ht="11.1" customHeight="1" x14ac:dyDescent="0.2">
      <c r="B45" s="232" t="s">
        <v>206</v>
      </c>
      <c r="C45" s="232"/>
      <c r="D45" s="49">
        <f>D42-D43-D44</f>
        <v>25980</v>
      </c>
      <c r="E45" s="49">
        <f>E42-E43-E44</f>
        <v>10851</v>
      </c>
      <c r="F45" s="49">
        <f>F42-F43-F44</f>
        <v>35637</v>
      </c>
      <c r="G45" s="49">
        <f>G42-G43-G44</f>
        <v>-2717</v>
      </c>
      <c r="H45" s="49">
        <f t="shared" si="19"/>
        <v>69751</v>
      </c>
      <c r="I45" s="49">
        <f>I42-I43-I44</f>
        <v>1274</v>
      </c>
      <c r="J45" s="49">
        <f t="shared" si="22"/>
        <v>71025</v>
      </c>
      <c r="L45" s="232" t="s">
        <v>206</v>
      </c>
      <c r="M45" s="232"/>
      <c r="N45" s="49">
        <f>N42-N43-N44</f>
        <v>10374</v>
      </c>
      <c r="O45" s="49">
        <f>O42-O43-O44</f>
        <v>861</v>
      </c>
      <c r="P45" s="49">
        <f>P42-P43-P44</f>
        <v>13964</v>
      </c>
      <c r="Q45" s="49">
        <f>Q42-Q43-Q44</f>
        <v>-1248.56</v>
      </c>
      <c r="R45" s="49">
        <f t="shared" si="23"/>
        <v>23950.44</v>
      </c>
      <c r="S45" s="49">
        <f>S42-S43-S44</f>
        <v>436</v>
      </c>
      <c r="T45" s="49">
        <f t="shared" si="21"/>
        <v>24386.44</v>
      </c>
    </row>
    <row r="46" spans="2:20" ht="11.1" customHeight="1" x14ac:dyDescent="0.2">
      <c r="B46" s="235" t="s">
        <v>207</v>
      </c>
      <c r="C46" s="236"/>
      <c r="D46" s="52">
        <v>-2804</v>
      </c>
      <c r="E46" s="52">
        <v>151</v>
      </c>
      <c r="F46" s="52">
        <v>-558</v>
      </c>
      <c r="G46" s="52">
        <v>846</v>
      </c>
      <c r="H46" s="52">
        <f t="shared" si="19"/>
        <v>-2365</v>
      </c>
      <c r="I46" s="52">
        <v>0</v>
      </c>
      <c r="J46" s="52">
        <f t="shared" si="22"/>
        <v>-2365</v>
      </c>
      <c r="L46" s="235" t="s">
        <v>207</v>
      </c>
      <c r="M46" s="236"/>
      <c r="N46" s="52">
        <f t="shared" ref="N46:Q48" si="25">D46-D29</f>
        <v>-2042</v>
      </c>
      <c r="O46" s="52">
        <f t="shared" si="25"/>
        <v>130</v>
      </c>
      <c r="P46" s="52">
        <f t="shared" si="25"/>
        <v>277</v>
      </c>
      <c r="Q46" s="52">
        <f t="shared" si="25"/>
        <v>846</v>
      </c>
      <c r="R46" s="52">
        <f t="shared" si="23"/>
        <v>-789</v>
      </c>
      <c r="S46" s="52">
        <f>I46-I29</f>
        <v>0</v>
      </c>
      <c r="T46" s="52">
        <f t="shared" si="21"/>
        <v>-789</v>
      </c>
    </row>
    <row r="47" spans="2:20" ht="11.1" customHeight="1" x14ac:dyDescent="0.2">
      <c r="B47" s="237" t="s">
        <v>208</v>
      </c>
      <c r="C47" s="236"/>
      <c r="D47" s="52">
        <v>0</v>
      </c>
      <c r="E47" s="52">
        <v>13</v>
      </c>
      <c r="F47" s="52">
        <v>921</v>
      </c>
      <c r="G47" s="52">
        <v>-1</v>
      </c>
      <c r="H47" s="52">
        <f t="shared" si="19"/>
        <v>933</v>
      </c>
      <c r="I47" s="52"/>
      <c r="J47" s="52">
        <f t="shared" si="22"/>
        <v>933</v>
      </c>
      <c r="L47" s="237" t="s">
        <v>208</v>
      </c>
      <c r="M47" s="236"/>
      <c r="N47" s="52">
        <f t="shared" si="25"/>
        <v>0</v>
      </c>
      <c r="O47" s="52">
        <f t="shared" si="25"/>
        <v>0</v>
      </c>
      <c r="P47" s="52">
        <f t="shared" si="25"/>
        <v>481</v>
      </c>
      <c r="Q47" s="52">
        <f t="shared" si="25"/>
        <v>-1</v>
      </c>
      <c r="R47" s="52">
        <f t="shared" si="23"/>
        <v>480</v>
      </c>
      <c r="S47" s="52">
        <f>I47-I30</f>
        <v>0</v>
      </c>
      <c r="T47" s="52">
        <f t="shared" si="21"/>
        <v>480</v>
      </c>
    </row>
    <row r="48" spans="2:20" ht="11.1" customHeight="1" x14ac:dyDescent="0.2">
      <c r="B48" s="237" t="s">
        <v>27</v>
      </c>
      <c r="C48" s="236"/>
      <c r="D48" s="52"/>
      <c r="E48" s="52"/>
      <c r="F48" s="52"/>
      <c r="G48" s="52"/>
      <c r="H48" s="52">
        <f t="shared" si="19"/>
        <v>0</v>
      </c>
      <c r="I48" s="52">
        <v>0</v>
      </c>
      <c r="J48" s="52">
        <f t="shared" si="22"/>
        <v>0</v>
      </c>
      <c r="L48" s="237" t="s">
        <v>27</v>
      </c>
      <c r="M48" s="236"/>
      <c r="N48" s="52">
        <f t="shared" si="25"/>
        <v>0</v>
      </c>
      <c r="O48" s="52">
        <f t="shared" si="25"/>
        <v>0</v>
      </c>
      <c r="P48" s="52">
        <f t="shared" si="25"/>
        <v>0</v>
      </c>
      <c r="Q48" s="52">
        <f t="shared" si="25"/>
        <v>0</v>
      </c>
      <c r="R48" s="52">
        <f t="shared" si="23"/>
        <v>0</v>
      </c>
      <c r="S48" s="52">
        <f>I48-I31</f>
        <v>0</v>
      </c>
      <c r="T48" s="52">
        <f t="shared" si="21"/>
        <v>0</v>
      </c>
    </row>
    <row r="49" spans="2:20" ht="11.1" customHeight="1" x14ac:dyDescent="0.2">
      <c r="B49" s="232" t="s">
        <v>209</v>
      </c>
      <c r="C49" s="232"/>
      <c r="D49" s="49">
        <f>D45+D46+D47+D48</f>
        <v>23176</v>
      </c>
      <c r="E49" s="49">
        <f>E45+E46+E47+E48</f>
        <v>11015</v>
      </c>
      <c r="F49" s="49">
        <f>F45+F46+F47+F48</f>
        <v>36000</v>
      </c>
      <c r="G49" s="49">
        <f>G45+G46+G47+G48</f>
        <v>-1872</v>
      </c>
      <c r="H49" s="49">
        <f t="shared" si="19"/>
        <v>68319</v>
      </c>
      <c r="I49" s="49">
        <f>I45+I46+I48</f>
        <v>1274</v>
      </c>
      <c r="J49" s="49">
        <f t="shared" si="22"/>
        <v>69593</v>
      </c>
      <c r="L49" s="232" t="s">
        <v>209</v>
      </c>
      <c r="M49" s="232"/>
      <c r="N49" s="49">
        <f t="shared" ref="N49:Q49" si="26">N45+N46+N47+N48</f>
        <v>8332</v>
      </c>
      <c r="O49" s="49">
        <f t="shared" si="26"/>
        <v>991</v>
      </c>
      <c r="P49" s="49">
        <f t="shared" si="26"/>
        <v>14722</v>
      </c>
      <c r="Q49" s="49">
        <f t="shared" si="26"/>
        <v>-403.55999999999995</v>
      </c>
      <c r="R49" s="49">
        <f t="shared" si="23"/>
        <v>23641.439999999999</v>
      </c>
      <c r="S49" s="49">
        <f>S45+S46+S48</f>
        <v>436</v>
      </c>
      <c r="T49" s="49">
        <f t="shared" si="21"/>
        <v>24077.439999999999</v>
      </c>
    </row>
    <row r="50" spans="2:20" ht="11.1" customHeight="1" x14ac:dyDescent="0.2">
      <c r="B50" s="77" t="s">
        <v>22</v>
      </c>
      <c r="C50" s="78"/>
      <c r="D50" s="49">
        <v>15741</v>
      </c>
      <c r="E50" s="49">
        <v>9189</v>
      </c>
      <c r="F50" s="49">
        <v>5805</v>
      </c>
      <c r="G50" s="49">
        <v>201</v>
      </c>
      <c r="H50" s="49">
        <f t="shared" si="19"/>
        <v>30936</v>
      </c>
      <c r="I50" s="49">
        <v>0</v>
      </c>
      <c r="J50" s="49">
        <f t="shared" si="22"/>
        <v>30936</v>
      </c>
      <c r="L50" s="77" t="s">
        <v>22</v>
      </c>
      <c r="M50" s="78"/>
      <c r="N50" s="49">
        <f>D50-D33</f>
        <v>5307</v>
      </c>
      <c r="O50" s="49">
        <f>E50-E33</f>
        <v>3126</v>
      </c>
      <c r="P50" s="49">
        <f>F50-F33</f>
        <v>1926</v>
      </c>
      <c r="Q50" s="49">
        <f>G50-G33</f>
        <v>201</v>
      </c>
      <c r="R50" s="49">
        <f t="shared" si="23"/>
        <v>10560</v>
      </c>
      <c r="S50" s="49">
        <f>I50-I33</f>
        <v>0</v>
      </c>
      <c r="T50" s="49">
        <f t="shared" si="21"/>
        <v>10560</v>
      </c>
    </row>
    <row r="51" spans="2:20" ht="11.1" customHeight="1" x14ac:dyDescent="0.2">
      <c r="B51" s="233" t="s">
        <v>23</v>
      </c>
      <c r="C51" s="234"/>
      <c r="D51" s="49">
        <f>D49+D50</f>
        <v>38917</v>
      </c>
      <c r="E51" s="49">
        <f t="shared" ref="E51:G51" si="27">E49+E50</f>
        <v>20204</v>
      </c>
      <c r="F51" s="49">
        <f t="shared" si="27"/>
        <v>41805</v>
      </c>
      <c r="G51" s="49">
        <f t="shared" si="27"/>
        <v>-1671</v>
      </c>
      <c r="H51" s="49">
        <f t="shared" si="19"/>
        <v>99255</v>
      </c>
      <c r="I51" s="49">
        <f t="shared" ref="I51" si="28">I49+I50</f>
        <v>1274</v>
      </c>
      <c r="J51" s="49">
        <f t="shared" si="22"/>
        <v>100529</v>
      </c>
      <c r="L51" s="233" t="s">
        <v>23</v>
      </c>
      <c r="M51" s="234"/>
      <c r="N51" s="49">
        <f>N49+N50</f>
        <v>13639</v>
      </c>
      <c r="O51" s="49">
        <f t="shared" ref="O51:Q51" si="29">O49+O50</f>
        <v>4117</v>
      </c>
      <c r="P51" s="49">
        <f t="shared" si="29"/>
        <v>16648</v>
      </c>
      <c r="Q51" s="49">
        <f t="shared" si="29"/>
        <v>-202.55999999999995</v>
      </c>
      <c r="R51" s="49">
        <f t="shared" si="23"/>
        <v>34201.440000000002</v>
      </c>
      <c r="S51" s="49">
        <f>S49+S50</f>
        <v>436</v>
      </c>
      <c r="T51" s="49">
        <f t="shared" si="21"/>
        <v>34637.440000000002</v>
      </c>
    </row>
    <row r="52" spans="2:20" ht="11.1" customHeight="1" x14ac:dyDescent="0.2">
      <c r="B52" s="48" t="s">
        <v>195</v>
      </c>
      <c r="C52" s="72"/>
      <c r="D52" s="48"/>
      <c r="E52" s="48"/>
      <c r="F52" s="48"/>
      <c r="G52" s="48"/>
      <c r="H52" s="48"/>
      <c r="I52" s="48"/>
      <c r="J52" s="81"/>
      <c r="L52" s="48" t="s">
        <v>195</v>
      </c>
      <c r="M52" s="72"/>
      <c r="N52" s="48"/>
      <c r="O52" s="48"/>
      <c r="P52" s="48"/>
      <c r="Q52" s="48"/>
      <c r="R52" s="48"/>
      <c r="S52" s="48"/>
      <c r="T52" s="81"/>
    </row>
    <row r="53" spans="2:20" ht="11.1" customHeight="1" x14ac:dyDescent="0.2">
      <c r="B53" s="48"/>
      <c r="C53" s="72"/>
      <c r="D53" s="48"/>
      <c r="E53" s="48"/>
      <c r="F53" s="48"/>
      <c r="G53" s="48"/>
      <c r="H53" s="48"/>
      <c r="I53" s="48"/>
      <c r="J53" s="81"/>
      <c r="L53" s="48"/>
      <c r="M53" s="72"/>
      <c r="N53" s="48"/>
      <c r="O53" s="48"/>
      <c r="P53" s="48"/>
      <c r="Q53" s="48"/>
      <c r="R53" s="48"/>
      <c r="S53" s="48"/>
      <c r="T53" s="81"/>
    </row>
    <row r="54" spans="2:20" ht="11.1" customHeight="1" x14ac:dyDescent="0.2">
      <c r="B54" s="244" t="s">
        <v>59</v>
      </c>
      <c r="C54" s="245"/>
      <c r="D54" s="241" t="s">
        <v>196</v>
      </c>
      <c r="E54" s="241" t="s">
        <v>197</v>
      </c>
      <c r="F54" s="241" t="s">
        <v>198</v>
      </c>
      <c r="G54" s="241" t="s">
        <v>199</v>
      </c>
      <c r="H54" s="241" t="s">
        <v>200</v>
      </c>
      <c r="I54" s="241" t="s">
        <v>201</v>
      </c>
      <c r="J54" s="241" t="s">
        <v>202</v>
      </c>
      <c r="L54" s="244" t="s">
        <v>59</v>
      </c>
      <c r="M54" s="245"/>
      <c r="N54" s="241" t="s">
        <v>196</v>
      </c>
      <c r="O54" s="241" t="s">
        <v>197</v>
      </c>
      <c r="P54" s="241" t="s">
        <v>198</v>
      </c>
      <c r="Q54" s="241" t="s">
        <v>199</v>
      </c>
      <c r="R54" s="241" t="s">
        <v>200</v>
      </c>
      <c r="S54" s="241" t="s">
        <v>201</v>
      </c>
      <c r="T54" s="241" t="s">
        <v>202</v>
      </c>
    </row>
    <row r="55" spans="2:20" ht="11.1" customHeight="1" x14ac:dyDescent="0.2">
      <c r="B55" s="246"/>
      <c r="C55" s="247"/>
      <c r="D55" s="242"/>
      <c r="E55" s="242"/>
      <c r="F55" s="242"/>
      <c r="G55" s="242"/>
      <c r="H55" s="242"/>
      <c r="I55" s="242"/>
      <c r="J55" s="243"/>
      <c r="L55" s="246"/>
      <c r="M55" s="247"/>
      <c r="N55" s="242"/>
      <c r="O55" s="242"/>
      <c r="P55" s="242"/>
      <c r="Q55" s="242"/>
      <c r="R55" s="242"/>
      <c r="S55" s="242"/>
      <c r="T55" s="243"/>
    </row>
    <row r="56" spans="2:20" ht="11.1" customHeight="1" x14ac:dyDescent="0.2">
      <c r="B56" s="239" t="s">
        <v>221</v>
      </c>
      <c r="C56" s="240"/>
      <c r="D56" s="240"/>
      <c r="E56" s="240"/>
      <c r="F56" s="240"/>
      <c r="G56" s="240"/>
      <c r="H56" s="73"/>
      <c r="I56" s="73"/>
      <c r="J56" s="82"/>
      <c r="L56" s="239" t="s">
        <v>222</v>
      </c>
      <c r="M56" s="240"/>
      <c r="N56" s="240"/>
      <c r="O56" s="240"/>
      <c r="P56" s="240"/>
      <c r="Q56" s="240"/>
      <c r="R56" s="73"/>
      <c r="S56" s="73"/>
      <c r="T56" s="82"/>
    </row>
    <row r="57" spans="2:20" ht="11.1" customHeight="1" x14ac:dyDescent="0.2">
      <c r="B57" s="238" t="s">
        <v>204</v>
      </c>
      <c r="C57" s="238"/>
      <c r="D57" s="52">
        <v>385922</v>
      </c>
      <c r="E57" s="52">
        <v>183536</v>
      </c>
      <c r="F57" s="52">
        <v>258344</v>
      </c>
      <c r="G57" s="52"/>
      <c r="H57" s="52">
        <f t="shared" ref="H57:H68" si="30">SUM(D57:G57)</f>
        <v>827802</v>
      </c>
      <c r="I57" s="52">
        <v>16241</v>
      </c>
      <c r="J57" s="52">
        <f>H57+I57</f>
        <v>844043</v>
      </c>
      <c r="L57" s="238" t="s">
        <v>204</v>
      </c>
      <c r="M57" s="238"/>
      <c r="N57" s="52">
        <f t="shared" ref="N57:Q58" si="31">D57-D40</f>
        <v>115307</v>
      </c>
      <c r="O57" s="52">
        <f t="shared" si="31"/>
        <v>48609</v>
      </c>
      <c r="P57" s="52">
        <f t="shared" si="31"/>
        <v>77173</v>
      </c>
      <c r="Q57" s="52">
        <f t="shared" si="31"/>
        <v>0</v>
      </c>
      <c r="R57" s="52">
        <f>SUM(N57:Q57)</f>
        <v>241089</v>
      </c>
      <c r="S57" s="52">
        <f>I57-I40</f>
        <v>2274</v>
      </c>
      <c r="T57" s="52">
        <f t="shared" ref="T57:T68" si="32">R57+S57</f>
        <v>243363</v>
      </c>
    </row>
    <row r="58" spans="2:20" ht="11.1" customHeight="1" x14ac:dyDescent="0.2">
      <c r="B58" s="238" t="s">
        <v>33</v>
      </c>
      <c r="C58" s="238"/>
      <c r="D58" s="52">
        <v>266876</v>
      </c>
      <c r="E58" s="52">
        <v>142552</v>
      </c>
      <c r="F58" s="52">
        <v>159469</v>
      </c>
      <c r="G58" s="52"/>
      <c r="H58" s="52">
        <f t="shared" si="30"/>
        <v>568897</v>
      </c>
      <c r="I58" s="52">
        <v>14619</v>
      </c>
      <c r="J58" s="52">
        <f t="shared" ref="J58:J68" si="33">H58+I58</f>
        <v>583516</v>
      </c>
      <c r="L58" s="238" t="s">
        <v>33</v>
      </c>
      <c r="M58" s="238"/>
      <c r="N58" s="52">
        <f t="shared" si="31"/>
        <v>77089</v>
      </c>
      <c r="O58" s="52">
        <f t="shared" si="31"/>
        <v>39627</v>
      </c>
      <c r="P58" s="52">
        <f t="shared" si="31"/>
        <v>51822</v>
      </c>
      <c r="Q58" s="52">
        <f t="shared" si="31"/>
        <v>0</v>
      </c>
      <c r="R58" s="52">
        <f t="shared" ref="R58:R68" si="34">SUM(N58:Q58)</f>
        <v>168538</v>
      </c>
      <c r="S58" s="52">
        <f>I58-I41</f>
        <v>2094</v>
      </c>
      <c r="T58" s="52">
        <f t="shared" si="32"/>
        <v>170632</v>
      </c>
    </row>
    <row r="59" spans="2:20" ht="11.1" customHeight="1" x14ac:dyDescent="0.2">
      <c r="B59" s="232" t="s">
        <v>205</v>
      </c>
      <c r="C59" s="232"/>
      <c r="D59" s="49">
        <f>D57-D58</f>
        <v>119046</v>
      </c>
      <c r="E59" s="49">
        <f>E57-E58</f>
        <v>40984</v>
      </c>
      <c r="F59" s="49">
        <f>F57-F58</f>
        <v>98875</v>
      </c>
      <c r="G59" s="49">
        <f>G57-G58</f>
        <v>0</v>
      </c>
      <c r="H59" s="49">
        <f t="shared" si="30"/>
        <v>258905</v>
      </c>
      <c r="I59" s="49">
        <f>I57-I58</f>
        <v>1622</v>
      </c>
      <c r="J59" s="49">
        <f t="shared" si="33"/>
        <v>260527</v>
      </c>
      <c r="L59" s="232" t="s">
        <v>205</v>
      </c>
      <c r="M59" s="232"/>
      <c r="N59" s="49">
        <f>N57-N58</f>
        <v>38218</v>
      </c>
      <c r="O59" s="49">
        <f>O57-O58</f>
        <v>8982</v>
      </c>
      <c r="P59" s="49">
        <f>P57-P58</f>
        <v>25351</v>
      </c>
      <c r="Q59" s="49">
        <f>Q57-Q58</f>
        <v>0</v>
      </c>
      <c r="R59" s="49">
        <f t="shared" si="34"/>
        <v>72551</v>
      </c>
      <c r="S59" s="49">
        <f>S57-S58</f>
        <v>180</v>
      </c>
      <c r="T59" s="49">
        <f t="shared" si="32"/>
        <v>72731</v>
      </c>
    </row>
    <row r="60" spans="2:20" ht="11.1" customHeight="1" x14ac:dyDescent="0.2">
      <c r="B60" s="235" t="s">
        <v>4</v>
      </c>
      <c r="C60" s="236"/>
      <c r="D60" s="52">
        <v>17308</v>
      </c>
      <c r="E60" s="52">
        <v>5903</v>
      </c>
      <c r="F60" s="52">
        <v>18572</v>
      </c>
      <c r="G60" s="52">
        <v>240</v>
      </c>
      <c r="H60" s="52">
        <f t="shared" si="30"/>
        <v>42023</v>
      </c>
      <c r="I60" s="52">
        <v>218</v>
      </c>
      <c r="J60" s="52">
        <f t="shared" si="33"/>
        <v>42241</v>
      </c>
      <c r="L60" s="235" t="s">
        <v>4</v>
      </c>
      <c r="M60" s="236"/>
      <c r="N60" s="52">
        <f t="shared" ref="N60:Q61" si="35">D60-D43</f>
        <v>4975</v>
      </c>
      <c r="O60" s="52">
        <f t="shared" si="35"/>
        <v>1564</v>
      </c>
      <c r="P60" s="52">
        <f t="shared" si="35"/>
        <v>6627</v>
      </c>
      <c r="Q60" s="52">
        <f t="shared" si="35"/>
        <v>60</v>
      </c>
      <c r="R60" s="52">
        <f t="shared" si="34"/>
        <v>13226</v>
      </c>
      <c r="S60" s="52">
        <f>I60-I43</f>
        <v>50</v>
      </c>
      <c r="T60" s="52">
        <f t="shared" si="32"/>
        <v>13276</v>
      </c>
    </row>
    <row r="61" spans="2:20" ht="11.1" customHeight="1" x14ac:dyDescent="0.2">
      <c r="B61" s="235" t="s">
        <v>5</v>
      </c>
      <c r="C61" s="236"/>
      <c r="D61" s="52">
        <v>57631</v>
      </c>
      <c r="E61" s="52">
        <v>22123</v>
      </c>
      <c r="F61" s="52">
        <v>36779</v>
      </c>
      <c r="G61" s="52">
        <f>2580+899</f>
        <v>3479</v>
      </c>
      <c r="H61" s="52">
        <f t="shared" si="30"/>
        <v>120012</v>
      </c>
      <c r="I61" s="52">
        <v>0</v>
      </c>
      <c r="J61" s="52">
        <f t="shared" si="33"/>
        <v>120012</v>
      </c>
      <c r="L61" s="235" t="s">
        <v>5</v>
      </c>
      <c r="M61" s="236"/>
      <c r="N61" s="52">
        <f t="shared" si="35"/>
        <v>15116</v>
      </c>
      <c r="O61" s="52">
        <f t="shared" si="35"/>
        <v>5311</v>
      </c>
      <c r="P61" s="52">
        <f t="shared" si="35"/>
        <v>10837</v>
      </c>
      <c r="Q61" s="52">
        <f t="shared" si="35"/>
        <v>942</v>
      </c>
      <c r="R61" s="52">
        <f t="shared" si="34"/>
        <v>32206</v>
      </c>
      <c r="S61" s="52">
        <f>I61-I44</f>
        <v>0</v>
      </c>
      <c r="T61" s="52">
        <f t="shared" si="32"/>
        <v>32206</v>
      </c>
    </row>
    <row r="62" spans="2:20" ht="11.1" customHeight="1" x14ac:dyDescent="0.2">
      <c r="B62" s="232" t="s">
        <v>206</v>
      </c>
      <c r="C62" s="232"/>
      <c r="D62" s="49">
        <f>D59-D60-D61</f>
        <v>44107</v>
      </c>
      <c r="E62" s="49">
        <f>E59-E60-E61</f>
        <v>12958</v>
      </c>
      <c r="F62" s="49">
        <f>F59-F60-F61</f>
        <v>43524</v>
      </c>
      <c r="G62" s="49">
        <f>G59-G60-G61</f>
        <v>-3719</v>
      </c>
      <c r="H62" s="49">
        <f t="shared" si="30"/>
        <v>96870</v>
      </c>
      <c r="I62" s="49">
        <f>I59-I60-I61</f>
        <v>1404</v>
      </c>
      <c r="J62" s="49">
        <f t="shared" si="33"/>
        <v>98274</v>
      </c>
      <c r="L62" s="232" t="s">
        <v>206</v>
      </c>
      <c r="M62" s="232"/>
      <c r="N62" s="49">
        <f>N59-N60-N61</f>
        <v>18127</v>
      </c>
      <c r="O62" s="49">
        <f>O59-O60-O61</f>
        <v>2107</v>
      </c>
      <c r="P62" s="49">
        <f>P59-P60-P61</f>
        <v>7887</v>
      </c>
      <c r="Q62" s="49">
        <f>Q59-Q60-Q61</f>
        <v>-1002</v>
      </c>
      <c r="R62" s="49">
        <f t="shared" si="34"/>
        <v>27119</v>
      </c>
      <c r="S62" s="49">
        <f>S59-S60-S61</f>
        <v>130</v>
      </c>
      <c r="T62" s="49">
        <f t="shared" si="32"/>
        <v>27249</v>
      </c>
    </row>
    <row r="63" spans="2:20" ht="11.1" customHeight="1" x14ac:dyDescent="0.2">
      <c r="B63" s="235" t="s">
        <v>207</v>
      </c>
      <c r="C63" s="236"/>
      <c r="D63" s="52">
        <v>-6162</v>
      </c>
      <c r="E63" s="52">
        <v>589</v>
      </c>
      <c r="F63" s="52">
        <v>-2485</v>
      </c>
      <c r="G63" s="52">
        <v>971</v>
      </c>
      <c r="H63" s="52">
        <f t="shared" si="30"/>
        <v>-7087</v>
      </c>
      <c r="I63" s="52"/>
      <c r="J63" s="52">
        <f t="shared" si="33"/>
        <v>-7087</v>
      </c>
      <c r="L63" s="235" t="s">
        <v>207</v>
      </c>
      <c r="M63" s="236"/>
      <c r="N63" s="52">
        <f t="shared" ref="N63:Q65" si="36">D63-D46</f>
        <v>-3358</v>
      </c>
      <c r="O63" s="52">
        <f t="shared" si="36"/>
        <v>438</v>
      </c>
      <c r="P63" s="52">
        <f t="shared" si="36"/>
        <v>-1927</v>
      </c>
      <c r="Q63" s="52">
        <f t="shared" si="36"/>
        <v>125</v>
      </c>
      <c r="R63" s="52">
        <f t="shared" si="34"/>
        <v>-4722</v>
      </c>
      <c r="S63" s="52">
        <f>I63-I46</f>
        <v>0</v>
      </c>
      <c r="T63" s="52">
        <f t="shared" si="32"/>
        <v>-4722</v>
      </c>
    </row>
    <row r="64" spans="2:20" ht="11.1" customHeight="1" x14ac:dyDescent="0.2">
      <c r="B64" s="237" t="s">
        <v>208</v>
      </c>
      <c r="C64" s="236"/>
      <c r="D64" s="52"/>
      <c r="E64" s="52">
        <v>22</v>
      </c>
      <c r="F64" s="52">
        <v>1320</v>
      </c>
      <c r="G64" s="52"/>
      <c r="H64" s="52">
        <f t="shared" si="30"/>
        <v>1342</v>
      </c>
      <c r="I64" s="52"/>
      <c r="J64" s="52">
        <f t="shared" si="33"/>
        <v>1342</v>
      </c>
      <c r="L64" s="237" t="s">
        <v>208</v>
      </c>
      <c r="M64" s="236"/>
      <c r="N64" s="52">
        <f t="shared" si="36"/>
        <v>0</v>
      </c>
      <c r="O64" s="52">
        <f t="shared" si="36"/>
        <v>9</v>
      </c>
      <c r="P64" s="52">
        <f t="shared" si="36"/>
        <v>399</v>
      </c>
      <c r="Q64" s="52">
        <f t="shared" si="36"/>
        <v>1</v>
      </c>
      <c r="R64" s="52">
        <f t="shared" si="34"/>
        <v>409</v>
      </c>
      <c r="S64" s="52">
        <f>I64-I47</f>
        <v>0</v>
      </c>
      <c r="T64" s="52">
        <f t="shared" si="32"/>
        <v>409</v>
      </c>
    </row>
    <row r="65" spans="2:20" ht="11.1" customHeight="1" x14ac:dyDescent="0.2">
      <c r="B65" s="237" t="s">
        <v>27</v>
      </c>
      <c r="C65" s="236"/>
      <c r="D65" s="52">
        <v>0</v>
      </c>
      <c r="E65" s="52"/>
      <c r="F65" s="52"/>
      <c r="G65" s="52">
        <v>0</v>
      </c>
      <c r="H65" s="52">
        <f t="shared" si="30"/>
        <v>0</v>
      </c>
      <c r="I65" s="52">
        <v>0</v>
      </c>
      <c r="J65" s="52">
        <f t="shared" si="33"/>
        <v>0</v>
      </c>
      <c r="L65" s="237" t="s">
        <v>27</v>
      </c>
      <c r="M65" s="236"/>
      <c r="N65" s="52">
        <f t="shared" si="36"/>
        <v>0</v>
      </c>
      <c r="O65" s="52">
        <f t="shared" si="36"/>
        <v>0</v>
      </c>
      <c r="P65" s="52">
        <f t="shared" si="36"/>
        <v>0</v>
      </c>
      <c r="Q65" s="52">
        <f t="shared" si="36"/>
        <v>0</v>
      </c>
      <c r="R65" s="52">
        <f t="shared" si="34"/>
        <v>0</v>
      </c>
      <c r="S65" s="52">
        <f>I65-I48</f>
        <v>0</v>
      </c>
      <c r="T65" s="52">
        <f t="shared" si="32"/>
        <v>0</v>
      </c>
    </row>
    <row r="66" spans="2:20" ht="11.1" customHeight="1" x14ac:dyDescent="0.2">
      <c r="B66" s="232" t="s">
        <v>209</v>
      </c>
      <c r="C66" s="232"/>
      <c r="D66" s="49">
        <f>D62+D63+D64+D65</f>
        <v>37945</v>
      </c>
      <c r="E66" s="49">
        <f>E62+E63+E64+E65</f>
        <v>13569</v>
      </c>
      <c r="F66" s="49">
        <f>F62+F63+F64+F65</f>
        <v>42359</v>
      </c>
      <c r="G66" s="49">
        <f>G62+G63+G64+G65</f>
        <v>-2748</v>
      </c>
      <c r="H66" s="49">
        <f t="shared" si="30"/>
        <v>91125</v>
      </c>
      <c r="I66" s="49">
        <f>I62+I63+I65</f>
        <v>1404</v>
      </c>
      <c r="J66" s="49">
        <f t="shared" si="33"/>
        <v>92529</v>
      </c>
      <c r="L66" s="232" t="s">
        <v>209</v>
      </c>
      <c r="M66" s="232"/>
      <c r="N66" s="49">
        <f t="shared" ref="N66:Q66" si="37">N62+N63+N64+N65</f>
        <v>14769</v>
      </c>
      <c r="O66" s="49">
        <f t="shared" si="37"/>
        <v>2554</v>
      </c>
      <c r="P66" s="49">
        <f t="shared" si="37"/>
        <v>6359</v>
      </c>
      <c r="Q66" s="49">
        <f t="shared" si="37"/>
        <v>-876</v>
      </c>
      <c r="R66" s="49">
        <f t="shared" si="34"/>
        <v>22806</v>
      </c>
      <c r="S66" s="49">
        <f>S62+S63+S65</f>
        <v>130</v>
      </c>
      <c r="T66" s="49">
        <f t="shared" si="32"/>
        <v>22936</v>
      </c>
    </row>
    <row r="67" spans="2:20" ht="11.1" customHeight="1" x14ac:dyDescent="0.2">
      <c r="B67" s="77" t="s">
        <v>22</v>
      </c>
      <c r="C67" s="78"/>
      <c r="D67" s="49">
        <v>21390</v>
      </c>
      <c r="E67" s="49">
        <v>12360</v>
      </c>
      <c r="F67" s="49">
        <v>7777</v>
      </c>
      <c r="G67" s="49">
        <v>255</v>
      </c>
      <c r="H67" s="49">
        <f t="shared" si="30"/>
        <v>41782</v>
      </c>
      <c r="I67" s="49"/>
      <c r="J67" s="49">
        <f t="shared" si="33"/>
        <v>41782</v>
      </c>
      <c r="L67" s="77" t="s">
        <v>22</v>
      </c>
      <c r="M67" s="78"/>
      <c r="N67" s="49">
        <f>D67-D50</f>
        <v>5649</v>
      </c>
      <c r="O67" s="49">
        <f>E67-E50</f>
        <v>3171</v>
      </c>
      <c r="P67" s="49">
        <f>F67-F50</f>
        <v>1972</v>
      </c>
      <c r="Q67" s="49">
        <f>G67-G50</f>
        <v>54</v>
      </c>
      <c r="R67" s="49">
        <f t="shared" si="34"/>
        <v>10846</v>
      </c>
      <c r="S67" s="49">
        <f>I67-I50</f>
        <v>0</v>
      </c>
      <c r="T67" s="49">
        <f t="shared" si="32"/>
        <v>10846</v>
      </c>
    </row>
    <row r="68" spans="2:20" ht="11.1" customHeight="1" x14ac:dyDescent="0.2">
      <c r="B68" s="233" t="s">
        <v>23</v>
      </c>
      <c r="C68" s="234"/>
      <c r="D68" s="49">
        <f>D66+D67</f>
        <v>59335</v>
      </c>
      <c r="E68" s="49">
        <f>E66+E67</f>
        <v>25929</v>
      </c>
      <c r="F68" s="49">
        <f>F66+F67</f>
        <v>50136</v>
      </c>
      <c r="G68" s="49">
        <f>G66+G67</f>
        <v>-2493</v>
      </c>
      <c r="H68" s="49">
        <f t="shared" si="30"/>
        <v>132907</v>
      </c>
      <c r="I68" s="49">
        <f>I66+I67</f>
        <v>1404</v>
      </c>
      <c r="J68" s="49">
        <f t="shared" si="33"/>
        <v>134311</v>
      </c>
      <c r="L68" s="233" t="s">
        <v>23</v>
      </c>
      <c r="M68" s="234"/>
      <c r="N68" s="49">
        <f>N66+N67</f>
        <v>20418</v>
      </c>
      <c r="O68" s="49">
        <f t="shared" ref="O68:Q68" si="38">O66+O67</f>
        <v>5725</v>
      </c>
      <c r="P68" s="49">
        <f t="shared" si="38"/>
        <v>8331</v>
      </c>
      <c r="Q68" s="49">
        <f t="shared" si="38"/>
        <v>-822</v>
      </c>
      <c r="R68" s="49">
        <f t="shared" si="34"/>
        <v>33652</v>
      </c>
      <c r="S68" s="49">
        <f>S66+S67</f>
        <v>130</v>
      </c>
      <c r="T68" s="49">
        <f t="shared" si="32"/>
        <v>33782</v>
      </c>
    </row>
  </sheetData>
  <mergeCells count="160">
    <mergeCell ref="R3:R4"/>
    <mergeCell ref="S3:S4"/>
    <mergeCell ref="T3:T4"/>
    <mergeCell ref="I3:I4"/>
    <mergeCell ref="J3:J4"/>
    <mergeCell ref="L3:M4"/>
    <mergeCell ref="N3:N4"/>
    <mergeCell ref="O3:O4"/>
    <mergeCell ref="P3:P4"/>
    <mergeCell ref="B6:C6"/>
    <mergeCell ref="L6:M6"/>
    <mergeCell ref="B7:C7"/>
    <mergeCell ref="L7:M7"/>
    <mergeCell ref="B8:C8"/>
    <mergeCell ref="L8:M8"/>
    <mergeCell ref="B5:G5"/>
    <mergeCell ref="L5:Q5"/>
    <mergeCell ref="Q3:Q4"/>
    <mergeCell ref="B3:C4"/>
    <mergeCell ref="D3:D4"/>
    <mergeCell ref="E3:E4"/>
    <mergeCell ref="F3:F4"/>
    <mergeCell ref="G3:G4"/>
    <mergeCell ref="H3:H4"/>
    <mergeCell ref="B12:C12"/>
    <mergeCell ref="L12:M12"/>
    <mergeCell ref="B13:C13"/>
    <mergeCell ref="L13:M13"/>
    <mergeCell ref="B14:C14"/>
    <mergeCell ref="L14:M14"/>
    <mergeCell ref="B9:C9"/>
    <mergeCell ref="L9:M9"/>
    <mergeCell ref="B10:C10"/>
    <mergeCell ref="L10:M10"/>
    <mergeCell ref="B11:C11"/>
    <mergeCell ref="L11:M11"/>
    <mergeCell ref="B15:C15"/>
    <mergeCell ref="L15:M15"/>
    <mergeCell ref="B17:C17"/>
    <mergeCell ref="L17:M17"/>
    <mergeCell ref="B20:C21"/>
    <mergeCell ref="D20:D21"/>
    <mergeCell ref="E20:E21"/>
    <mergeCell ref="F20:F21"/>
    <mergeCell ref="G20:G21"/>
    <mergeCell ref="H20:H21"/>
    <mergeCell ref="R20:R21"/>
    <mergeCell ref="S20:S21"/>
    <mergeCell ref="T20:T21"/>
    <mergeCell ref="I20:I21"/>
    <mergeCell ref="J20:J21"/>
    <mergeCell ref="L20:M21"/>
    <mergeCell ref="N20:N21"/>
    <mergeCell ref="O20:O21"/>
    <mergeCell ref="P20:P21"/>
    <mergeCell ref="B23:C23"/>
    <mergeCell ref="L23:M23"/>
    <mergeCell ref="B24:C24"/>
    <mergeCell ref="L24:M24"/>
    <mergeCell ref="B25:C25"/>
    <mergeCell ref="L25:M25"/>
    <mergeCell ref="B22:G22"/>
    <mergeCell ref="L22:Q22"/>
    <mergeCell ref="Q20:Q21"/>
    <mergeCell ref="B29:C29"/>
    <mergeCell ref="L29:M29"/>
    <mergeCell ref="B30:C30"/>
    <mergeCell ref="L30:M30"/>
    <mergeCell ref="B31:C31"/>
    <mergeCell ref="L31:M31"/>
    <mergeCell ref="B26:C26"/>
    <mergeCell ref="L26:M26"/>
    <mergeCell ref="B27:C27"/>
    <mergeCell ref="L27:M27"/>
    <mergeCell ref="B28:C28"/>
    <mergeCell ref="L28:M28"/>
    <mergeCell ref="B32:C32"/>
    <mergeCell ref="L32:M32"/>
    <mergeCell ref="B34:C34"/>
    <mergeCell ref="L34:M34"/>
    <mergeCell ref="B37:C38"/>
    <mergeCell ref="D37:D38"/>
    <mergeCell ref="E37:E38"/>
    <mergeCell ref="F37:F38"/>
    <mergeCell ref="G37:G38"/>
    <mergeCell ref="H37:H38"/>
    <mergeCell ref="R37:R38"/>
    <mergeCell ref="S37:S38"/>
    <mergeCell ref="T37:T38"/>
    <mergeCell ref="I37:I38"/>
    <mergeCell ref="J37:J38"/>
    <mergeCell ref="L37:M38"/>
    <mergeCell ref="N37:N38"/>
    <mergeCell ref="O37:O38"/>
    <mergeCell ref="P37:P38"/>
    <mergeCell ref="B40:C40"/>
    <mergeCell ref="L40:M40"/>
    <mergeCell ref="B41:C41"/>
    <mergeCell ref="L41:M41"/>
    <mergeCell ref="B42:C42"/>
    <mergeCell ref="L42:M42"/>
    <mergeCell ref="B39:G39"/>
    <mergeCell ref="L39:Q39"/>
    <mergeCell ref="Q37:Q38"/>
    <mergeCell ref="B46:C46"/>
    <mergeCell ref="L46:M46"/>
    <mergeCell ref="B47:C47"/>
    <mergeCell ref="L47:M47"/>
    <mergeCell ref="B48:C48"/>
    <mergeCell ref="L48:M48"/>
    <mergeCell ref="B43:C43"/>
    <mergeCell ref="L43:M43"/>
    <mergeCell ref="B44:C44"/>
    <mergeCell ref="L44:M44"/>
    <mergeCell ref="B45:C45"/>
    <mergeCell ref="L45:M45"/>
    <mergeCell ref="B49:C49"/>
    <mergeCell ref="L49:M49"/>
    <mergeCell ref="B51:C51"/>
    <mergeCell ref="L51:M51"/>
    <mergeCell ref="B54:C55"/>
    <mergeCell ref="D54:D55"/>
    <mergeCell ref="E54:E55"/>
    <mergeCell ref="F54:F55"/>
    <mergeCell ref="G54:G55"/>
    <mergeCell ref="H54:H55"/>
    <mergeCell ref="B56:G56"/>
    <mergeCell ref="L56:Q56"/>
    <mergeCell ref="Q54:Q55"/>
    <mergeCell ref="R54:R55"/>
    <mergeCell ref="S54:S55"/>
    <mergeCell ref="T54:T55"/>
    <mergeCell ref="I54:I55"/>
    <mergeCell ref="J54:J55"/>
    <mergeCell ref="L54:M55"/>
    <mergeCell ref="N54:N55"/>
    <mergeCell ref="O54:O55"/>
    <mergeCell ref="P54:P55"/>
    <mergeCell ref="B60:C60"/>
    <mergeCell ref="L60:M60"/>
    <mergeCell ref="B61:C61"/>
    <mergeCell ref="L61:M61"/>
    <mergeCell ref="B62:C62"/>
    <mergeCell ref="L62:M62"/>
    <mergeCell ref="B57:C57"/>
    <mergeCell ref="L57:M57"/>
    <mergeCell ref="B58:C58"/>
    <mergeCell ref="L58:M58"/>
    <mergeCell ref="B59:C59"/>
    <mergeCell ref="L59:M59"/>
    <mergeCell ref="B66:C66"/>
    <mergeCell ref="L66:M66"/>
    <mergeCell ref="B68:C68"/>
    <mergeCell ref="L68:M68"/>
    <mergeCell ref="B63:C63"/>
    <mergeCell ref="L63:M63"/>
    <mergeCell ref="B64:C64"/>
    <mergeCell ref="L64:M64"/>
    <mergeCell ref="B65:C65"/>
    <mergeCell ref="L65:M65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C4306-C777-449D-A39F-0567D6736F83}">
  <dimension ref="B1:T119"/>
  <sheetViews>
    <sheetView zoomScaleNormal="100" zoomScaleSheetLayoutView="100" workbookViewId="0">
      <pane xSplit="3" ySplit="1" topLeftCell="G74" activePane="bottomRight" state="frozen"/>
      <selection activeCell="D42" sqref="D42:D43"/>
      <selection pane="topRight" activeCell="D42" sqref="D42:D43"/>
      <selection pane="bottomLeft" activeCell="D42" sqref="D42:D43"/>
      <selection pane="bottomRight" sqref="A1:XFD1048576"/>
    </sheetView>
  </sheetViews>
  <sheetFormatPr defaultColWidth="9.140625" defaultRowHeight="11.1" customHeight="1" x14ac:dyDescent="0.2"/>
  <cols>
    <col min="1" max="1" width="2.5703125" style="46" customWidth="1"/>
    <col min="2" max="2" width="2.5703125" style="47" customWidth="1"/>
    <col min="3" max="3" width="54.85546875" style="54" customWidth="1"/>
    <col min="4" max="6" width="10.7109375" style="46" customWidth="1"/>
    <col min="7" max="7" width="16" style="46" customWidth="1"/>
    <col min="8" max="8" width="10" style="46" bestFit="1" customWidth="1"/>
    <col min="9" max="9" width="10.7109375" style="46" customWidth="1"/>
    <col min="10" max="10" width="13" style="46" customWidth="1"/>
    <col min="11" max="11" width="9.140625" style="46"/>
    <col min="12" max="12" width="2.5703125" style="47" customWidth="1"/>
    <col min="13" max="13" width="54.85546875" style="54" customWidth="1"/>
    <col min="14" max="16" width="10.7109375" style="46" customWidth="1"/>
    <col min="17" max="17" width="16" style="46" customWidth="1"/>
    <col min="18" max="18" width="10" style="46" bestFit="1" customWidth="1"/>
    <col min="19" max="19" width="10.7109375" style="46" customWidth="1"/>
    <col min="20" max="20" width="13" style="46" customWidth="1"/>
    <col min="21" max="16384" width="9.140625" style="46"/>
  </cols>
  <sheetData>
    <row r="1" spans="2:20" s="47" customFormat="1" ht="11.1" customHeight="1" x14ac:dyDescent="0.2">
      <c r="B1" s="48" t="s">
        <v>194</v>
      </c>
      <c r="C1" s="72"/>
      <c r="D1" s="48"/>
      <c r="E1" s="48"/>
      <c r="F1" s="48"/>
      <c r="G1" s="48"/>
      <c r="H1" s="48"/>
      <c r="I1" s="48"/>
      <c r="J1" s="48"/>
      <c r="L1" s="48" t="s">
        <v>194</v>
      </c>
      <c r="M1" s="72"/>
      <c r="N1" s="48"/>
      <c r="O1" s="48"/>
      <c r="P1" s="48"/>
      <c r="Q1" s="48"/>
      <c r="R1" s="48"/>
      <c r="S1" s="48"/>
      <c r="T1" s="48"/>
    </row>
    <row r="2" spans="2:20" ht="11.1" customHeight="1" x14ac:dyDescent="0.2">
      <c r="B2" s="244" t="s">
        <v>59</v>
      </c>
      <c r="C2" s="245"/>
      <c r="D2" s="241" t="s">
        <v>196</v>
      </c>
      <c r="E2" s="241" t="s">
        <v>197</v>
      </c>
      <c r="F2" s="241" t="s">
        <v>198</v>
      </c>
      <c r="G2" s="241" t="s">
        <v>199</v>
      </c>
      <c r="H2" s="241" t="s">
        <v>200</v>
      </c>
      <c r="I2" s="241" t="s">
        <v>201</v>
      </c>
      <c r="J2" s="241" t="s">
        <v>202</v>
      </c>
      <c r="K2" s="47"/>
      <c r="L2" s="244" t="s">
        <v>59</v>
      </c>
      <c r="M2" s="245"/>
      <c r="N2" s="241" t="s">
        <v>196</v>
      </c>
      <c r="O2" s="241" t="s">
        <v>197</v>
      </c>
      <c r="P2" s="241" t="s">
        <v>198</v>
      </c>
      <c r="Q2" s="241" t="s">
        <v>199</v>
      </c>
      <c r="R2" s="241" t="s">
        <v>200</v>
      </c>
      <c r="S2" s="241" t="s">
        <v>201</v>
      </c>
      <c r="T2" s="241" t="s">
        <v>202</v>
      </c>
    </row>
    <row r="3" spans="2:20" ht="11.1" customHeight="1" x14ac:dyDescent="0.2">
      <c r="B3" s="246"/>
      <c r="C3" s="247"/>
      <c r="D3" s="242"/>
      <c r="E3" s="242"/>
      <c r="F3" s="242"/>
      <c r="G3" s="242"/>
      <c r="H3" s="242"/>
      <c r="I3" s="242"/>
      <c r="J3" s="243"/>
      <c r="K3" s="47"/>
      <c r="L3" s="246"/>
      <c r="M3" s="247"/>
      <c r="N3" s="242"/>
      <c r="O3" s="242"/>
      <c r="P3" s="242"/>
      <c r="Q3" s="242"/>
      <c r="R3" s="242"/>
      <c r="S3" s="242"/>
      <c r="T3" s="243"/>
    </row>
    <row r="4" spans="2:20" ht="11.1" customHeight="1" x14ac:dyDescent="0.2">
      <c r="B4" s="248" t="s">
        <v>203</v>
      </c>
      <c r="C4" s="249"/>
      <c r="D4" s="249"/>
      <c r="E4" s="249"/>
      <c r="F4" s="249"/>
      <c r="G4" s="249"/>
      <c r="H4" s="73"/>
      <c r="I4" s="73"/>
      <c r="J4" s="74"/>
      <c r="K4" s="47"/>
      <c r="L4" s="248" t="s">
        <v>203</v>
      </c>
      <c r="M4" s="249"/>
      <c r="N4" s="249"/>
      <c r="O4" s="249"/>
      <c r="P4" s="249"/>
      <c r="Q4" s="249"/>
      <c r="R4" s="73"/>
      <c r="S4" s="73"/>
      <c r="T4" s="74"/>
    </row>
    <row r="5" spans="2:20" ht="11.1" customHeight="1" x14ac:dyDescent="0.2">
      <c r="B5" s="238" t="s">
        <v>204</v>
      </c>
      <c r="C5" s="238"/>
      <c r="D5" s="52">
        <v>95083</v>
      </c>
      <c r="E5" s="52">
        <v>56702</v>
      </c>
      <c r="F5" s="52">
        <v>60694</v>
      </c>
      <c r="G5" s="52">
        <v>0</v>
      </c>
      <c r="H5" s="52">
        <f>SUM(D5:G5)</f>
        <v>212479</v>
      </c>
      <c r="I5" s="52"/>
      <c r="J5" s="52">
        <f t="shared" ref="J5:J16" si="0">H5+I5</f>
        <v>212479</v>
      </c>
      <c r="K5" s="47"/>
      <c r="L5" s="238" t="s">
        <v>204</v>
      </c>
      <c r="M5" s="238"/>
      <c r="N5" s="52">
        <v>95083</v>
      </c>
      <c r="O5" s="52">
        <v>56702</v>
      </c>
      <c r="P5" s="52">
        <v>60694</v>
      </c>
      <c r="Q5" s="52">
        <v>0</v>
      </c>
      <c r="R5" s="52">
        <f>SUM(N5:Q5)</f>
        <v>212479</v>
      </c>
      <c r="S5" s="52"/>
      <c r="T5" s="52">
        <f t="shared" ref="T5:T16" si="1">R5+S5</f>
        <v>212479</v>
      </c>
    </row>
    <row r="6" spans="2:20" ht="11.1" customHeight="1" x14ac:dyDescent="0.2">
      <c r="B6" s="238" t="s">
        <v>33</v>
      </c>
      <c r="C6" s="238"/>
      <c r="D6" s="52">
        <v>69117</v>
      </c>
      <c r="E6" s="52">
        <v>42503</v>
      </c>
      <c r="F6" s="52">
        <v>37488</v>
      </c>
      <c r="G6" s="52">
        <v>0</v>
      </c>
      <c r="H6" s="52">
        <f t="shared" ref="H6:H16" si="2">SUM(D6:G6)</f>
        <v>149108</v>
      </c>
      <c r="I6" s="52"/>
      <c r="J6" s="52">
        <f t="shared" si="0"/>
        <v>149108</v>
      </c>
      <c r="K6" s="47"/>
      <c r="L6" s="238" t="s">
        <v>33</v>
      </c>
      <c r="M6" s="238"/>
      <c r="N6" s="52">
        <v>69117</v>
      </c>
      <c r="O6" s="52">
        <v>42503</v>
      </c>
      <c r="P6" s="52">
        <v>37488</v>
      </c>
      <c r="Q6" s="52">
        <v>0</v>
      </c>
      <c r="R6" s="52">
        <f t="shared" ref="R6:R16" si="3">SUM(N6:Q6)</f>
        <v>149108</v>
      </c>
      <c r="S6" s="52"/>
      <c r="T6" s="52">
        <f t="shared" si="1"/>
        <v>149108</v>
      </c>
    </row>
    <row r="7" spans="2:20" ht="11.1" customHeight="1" x14ac:dyDescent="0.2">
      <c r="B7" s="232" t="s">
        <v>205</v>
      </c>
      <c r="C7" s="232"/>
      <c r="D7" s="49">
        <f>D5-D6</f>
        <v>25966</v>
      </c>
      <c r="E7" s="49">
        <f>E5-E6</f>
        <v>14199</v>
      </c>
      <c r="F7" s="49">
        <f>F5-F6</f>
        <v>23206</v>
      </c>
      <c r="G7" s="49">
        <f>G5-G6</f>
        <v>0</v>
      </c>
      <c r="H7" s="49">
        <f t="shared" si="2"/>
        <v>63371</v>
      </c>
      <c r="I7" s="49">
        <f>I5-I6</f>
        <v>0</v>
      </c>
      <c r="J7" s="49">
        <f t="shared" si="0"/>
        <v>63371</v>
      </c>
      <c r="K7" s="47"/>
      <c r="L7" s="232" t="s">
        <v>205</v>
      </c>
      <c r="M7" s="232"/>
      <c r="N7" s="49">
        <f>N5-N6</f>
        <v>25966</v>
      </c>
      <c r="O7" s="49">
        <f>O5-O6</f>
        <v>14199</v>
      </c>
      <c r="P7" s="49">
        <f>P5-P6</f>
        <v>23206</v>
      </c>
      <c r="Q7" s="49">
        <f>Q5-Q6</f>
        <v>0</v>
      </c>
      <c r="R7" s="49">
        <f t="shared" si="3"/>
        <v>63371</v>
      </c>
      <c r="S7" s="49">
        <f>S5-S6</f>
        <v>0</v>
      </c>
      <c r="T7" s="49">
        <f t="shared" si="1"/>
        <v>63371</v>
      </c>
    </row>
    <row r="8" spans="2:20" ht="11.1" customHeight="1" x14ac:dyDescent="0.2">
      <c r="B8" s="235" t="s">
        <v>4</v>
      </c>
      <c r="C8" s="236"/>
      <c r="D8" s="52">
        <v>3538</v>
      </c>
      <c r="E8" s="52">
        <v>1265</v>
      </c>
      <c r="F8" s="52">
        <v>3924</v>
      </c>
      <c r="G8" s="52">
        <v>80.31</v>
      </c>
      <c r="H8" s="52">
        <f t="shared" si="2"/>
        <v>8807.31</v>
      </c>
      <c r="I8" s="52"/>
      <c r="J8" s="52">
        <f t="shared" si="0"/>
        <v>8807.31</v>
      </c>
      <c r="K8" s="47"/>
      <c r="L8" s="235" t="s">
        <v>4</v>
      </c>
      <c r="M8" s="236"/>
      <c r="N8" s="52">
        <v>3538</v>
      </c>
      <c r="O8" s="52">
        <v>1265</v>
      </c>
      <c r="P8" s="52">
        <v>3924</v>
      </c>
      <c r="Q8" s="52">
        <v>80.31</v>
      </c>
      <c r="R8" s="52">
        <f t="shared" si="3"/>
        <v>8807.31</v>
      </c>
      <c r="S8" s="52"/>
      <c r="T8" s="52">
        <f t="shared" si="1"/>
        <v>8807.31</v>
      </c>
    </row>
    <row r="9" spans="2:20" ht="11.1" customHeight="1" x14ac:dyDescent="0.2">
      <c r="B9" s="235" t="s">
        <v>5</v>
      </c>
      <c r="C9" s="236"/>
      <c r="D9" s="52">
        <v>15004</v>
      </c>
      <c r="E9" s="52">
        <v>6467</v>
      </c>
      <c r="F9" s="52">
        <v>10172</v>
      </c>
      <c r="G9" s="52">
        <v>580</v>
      </c>
      <c r="H9" s="52">
        <f t="shared" si="2"/>
        <v>32223</v>
      </c>
      <c r="I9" s="52"/>
      <c r="J9" s="52">
        <f t="shared" si="0"/>
        <v>32223</v>
      </c>
      <c r="K9" s="47"/>
      <c r="L9" s="235" t="s">
        <v>5</v>
      </c>
      <c r="M9" s="236"/>
      <c r="N9" s="52">
        <v>15004</v>
      </c>
      <c r="O9" s="52">
        <v>6467</v>
      </c>
      <c r="P9" s="52">
        <v>10172</v>
      </c>
      <c r="Q9" s="52">
        <v>580</v>
      </c>
      <c r="R9" s="52">
        <f t="shared" si="3"/>
        <v>32223</v>
      </c>
      <c r="S9" s="52"/>
      <c r="T9" s="52">
        <f t="shared" si="1"/>
        <v>32223</v>
      </c>
    </row>
    <row r="10" spans="2:20" ht="11.1" customHeight="1" x14ac:dyDescent="0.2">
      <c r="B10" s="232" t="s">
        <v>206</v>
      </c>
      <c r="C10" s="232"/>
      <c r="D10" s="49">
        <f>D7-D8-D9</f>
        <v>7424</v>
      </c>
      <c r="E10" s="49">
        <f>E7-E8-E9</f>
        <v>6467</v>
      </c>
      <c r="F10" s="49">
        <f>F7-F8-F9</f>
        <v>9110</v>
      </c>
      <c r="G10" s="49">
        <f>G7-G8-G9</f>
        <v>-660.31</v>
      </c>
      <c r="H10" s="49">
        <f t="shared" si="2"/>
        <v>22340.69</v>
      </c>
      <c r="I10" s="49">
        <f>I7-I8-I9</f>
        <v>0</v>
      </c>
      <c r="J10" s="49">
        <f t="shared" si="0"/>
        <v>22340.69</v>
      </c>
      <c r="K10" s="47"/>
      <c r="L10" s="232" t="s">
        <v>206</v>
      </c>
      <c r="M10" s="232"/>
      <c r="N10" s="49">
        <f>N7-N8-N9</f>
        <v>7424</v>
      </c>
      <c r="O10" s="49">
        <f>O7-O8-O9</f>
        <v>6467</v>
      </c>
      <c r="P10" s="49">
        <f>P7-P8-P9</f>
        <v>9110</v>
      </c>
      <c r="Q10" s="49">
        <f>Q7-Q8-Q9</f>
        <v>-660.31</v>
      </c>
      <c r="R10" s="49">
        <f t="shared" si="3"/>
        <v>22340.69</v>
      </c>
      <c r="S10" s="49">
        <f>S7-S8-S9</f>
        <v>0</v>
      </c>
      <c r="T10" s="49">
        <f t="shared" si="1"/>
        <v>22340.69</v>
      </c>
    </row>
    <row r="11" spans="2:20" ht="11.1" customHeight="1" x14ac:dyDescent="0.2">
      <c r="B11" s="235" t="s">
        <v>207</v>
      </c>
      <c r="C11" s="236"/>
      <c r="D11" s="52">
        <v>-252</v>
      </c>
      <c r="E11" s="52">
        <v>-76</v>
      </c>
      <c r="F11" s="52">
        <v>-629</v>
      </c>
      <c r="G11" s="52">
        <v>0</v>
      </c>
      <c r="H11" s="52">
        <f t="shared" si="2"/>
        <v>-957</v>
      </c>
      <c r="I11" s="52">
        <v>0</v>
      </c>
      <c r="J11" s="52">
        <f t="shared" si="0"/>
        <v>-957</v>
      </c>
      <c r="K11" s="47"/>
      <c r="L11" s="235" t="s">
        <v>207</v>
      </c>
      <c r="M11" s="236"/>
      <c r="N11" s="52">
        <v>-252</v>
      </c>
      <c r="O11" s="52">
        <v>-76</v>
      </c>
      <c r="P11" s="52">
        <v>-629</v>
      </c>
      <c r="Q11" s="52">
        <v>0</v>
      </c>
      <c r="R11" s="52">
        <f t="shared" si="3"/>
        <v>-957</v>
      </c>
      <c r="S11" s="52">
        <v>0</v>
      </c>
      <c r="T11" s="52">
        <f t="shared" si="1"/>
        <v>-957</v>
      </c>
    </row>
    <row r="12" spans="2:20" ht="11.1" customHeight="1" x14ac:dyDescent="0.2">
      <c r="B12" s="237" t="s">
        <v>208</v>
      </c>
      <c r="C12" s="236"/>
      <c r="D12" s="52">
        <v>0</v>
      </c>
      <c r="E12" s="52">
        <v>0</v>
      </c>
      <c r="F12" s="52">
        <v>235</v>
      </c>
      <c r="G12" s="52">
        <v>0</v>
      </c>
      <c r="H12" s="52">
        <f t="shared" si="2"/>
        <v>235</v>
      </c>
      <c r="I12" s="52"/>
      <c r="J12" s="52">
        <f t="shared" si="0"/>
        <v>235</v>
      </c>
      <c r="K12" s="47"/>
      <c r="L12" s="237" t="s">
        <v>208</v>
      </c>
      <c r="M12" s="236"/>
      <c r="N12" s="52">
        <v>0</v>
      </c>
      <c r="O12" s="52">
        <v>0</v>
      </c>
      <c r="P12" s="52">
        <v>235</v>
      </c>
      <c r="Q12" s="52">
        <v>0</v>
      </c>
      <c r="R12" s="52">
        <f t="shared" si="3"/>
        <v>235</v>
      </c>
      <c r="S12" s="52"/>
      <c r="T12" s="52">
        <f t="shared" si="1"/>
        <v>235</v>
      </c>
    </row>
    <row r="13" spans="2:20" ht="11.1" customHeight="1" x14ac:dyDescent="0.2">
      <c r="B13" s="237" t="s">
        <v>27</v>
      </c>
      <c r="C13" s="236"/>
      <c r="D13" s="52"/>
      <c r="E13" s="52"/>
      <c r="F13" s="52"/>
      <c r="G13" s="52"/>
      <c r="H13" s="52">
        <f t="shared" si="2"/>
        <v>0</v>
      </c>
      <c r="I13" s="52">
        <v>0</v>
      </c>
      <c r="J13" s="52">
        <f t="shared" si="0"/>
        <v>0</v>
      </c>
      <c r="K13" s="47"/>
      <c r="L13" s="237" t="s">
        <v>27</v>
      </c>
      <c r="M13" s="236"/>
      <c r="N13" s="52"/>
      <c r="O13" s="52"/>
      <c r="P13" s="52"/>
      <c r="Q13" s="52"/>
      <c r="R13" s="52">
        <f t="shared" si="3"/>
        <v>0</v>
      </c>
      <c r="S13" s="52">
        <v>0</v>
      </c>
      <c r="T13" s="52">
        <f t="shared" si="1"/>
        <v>0</v>
      </c>
    </row>
    <row r="14" spans="2:20" ht="11.1" customHeight="1" x14ac:dyDescent="0.2">
      <c r="B14" s="232" t="s">
        <v>209</v>
      </c>
      <c r="C14" s="232"/>
      <c r="D14" s="49">
        <f t="shared" ref="D14:G14" si="4">D10+D11+D12+D13</f>
        <v>7172</v>
      </c>
      <c r="E14" s="49">
        <f t="shared" si="4"/>
        <v>6391</v>
      </c>
      <c r="F14" s="49">
        <f t="shared" si="4"/>
        <v>8716</v>
      </c>
      <c r="G14" s="49">
        <f t="shared" si="4"/>
        <v>-660.31</v>
      </c>
      <c r="H14" s="49">
        <f t="shared" si="2"/>
        <v>21618.69</v>
      </c>
      <c r="I14" s="49">
        <f>I10+I11+I13</f>
        <v>0</v>
      </c>
      <c r="J14" s="49">
        <f t="shared" si="0"/>
        <v>21618.69</v>
      </c>
      <c r="K14" s="47"/>
      <c r="L14" s="232" t="s">
        <v>209</v>
      </c>
      <c r="M14" s="232"/>
      <c r="N14" s="49">
        <f t="shared" ref="N14:Q14" si="5">N10+N11+N12+N13</f>
        <v>7172</v>
      </c>
      <c r="O14" s="49">
        <f t="shared" si="5"/>
        <v>6391</v>
      </c>
      <c r="P14" s="49">
        <f t="shared" si="5"/>
        <v>8716</v>
      </c>
      <c r="Q14" s="49">
        <f t="shared" si="5"/>
        <v>-660.31</v>
      </c>
      <c r="R14" s="49">
        <f t="shared" si="3"/>
        <v>21618.69</v>
      </c>
      <c r="S14" s="49">
        <f>S10+S11+S13</f>
        <v>0</v>
      </c>
      <c r="T14" s="49">
        <f t="shared" si="1"/>
        <v>21618.69</v>
      </c>
    </row>
    <row r="15" spans="2:20" ht="11.1" customHeight="1" x14ac:dyDescent="0.2">
      <c r="B15" s="77" t="s">
        <v>22</v>
      </c>
      <c r="C15" s="78"/>
      <c r="D15" s="49">
        <v>5964</v>
      </c>
      <c r="E15" s="49">
        <v>3369</v>
      </c>
      <c r="F15" s="49">
        <v>2363</v>
      </c>
      <c r="G15" s="49">
        <v>0</v>
      </c>
      <c r="H15" s="49">
        <f t="shared" si="2"/>
        <v>11696</v>
      </c>
      <c r="I15" s="49">
        <v>0</v>
      </c>
      <c r="J15" s="49">
        <f t="shared" si="0"/>
        <v>11696</v>
      </c>
      <c r="K15" s="47"/>
      <c r="L15" s="77" t="s">
        <v>22</v>
      </c>
      <c r="M15" s="78"/>
      <c r="N15" s="49">
        <v>5964</v>
      </c>
      <c r="O15" s="49">
        <v>3369</v>
      </c>
      <c r="P15" s="49">
        <v>2363</v>
      </c>
      <c r="Q15" s="49">
        <v>0</v>
      </c>
      <c r="R15" s="49">
        <f t="shared" si="3"/>
        <v>11696</v>
      </c>
      <c r="S15" s="49">
        <v>0</v>
      </c>
      <c r="T15" s="49">
        <f t="shared" si="1"/>
        <v>11696</v>
      </c>
    </row>
    <row r="16" spans="2:20" ht="11.1" customHeight="1" x14ac:dyDescent="0.2">
      <c r="B16" s="233" t="s">
        <v>23</v>
      </c>
      <c r="C16" s="234"/>
      <c r="D16" s="49">
        <f>D14+D15</f>
        <v>13136</v>
      </c>
      <c r="E16" s="49">
        <f t="shared" ref="E16:G16" si="6">E14+E15</f>
        <v>9760</v>
      </c>
      <c r="F16" s="49">
        <f t="shared" si="6"/>
        <v>11079</v>
      </c>
      <c r="G16" s="49">
        <f t="shared" si="6"/>
        <v>-660.31</v>
      </c>
      <c r="H16" s="49">
        <f t="shared" si="2"/>
        <v>33314.69</v>
      </c>
      <c r="I16" s="49">
        <f>I14+I15</f>
        <v>0</v>
      </c>
      <c r="J16" s="49">
        <f t="shared" si="0"/>
        <v>33314.69</v>
      </c>
      <c r="K16" s="47"/>
      <c r="L16" s="233" t="s">
        <v>23</v>
      </c>
      <c r="M16" s="234"/>
      <c r="N16" s="49">
        <f>N14+N15</f>
        <v>13136</v>
      </c>
      <c r="O16" s="49">
        <f t="shared" ref="O16:Q16" si="7">O14+O15</f>
        <v>9760</v>
      </c>
      <c r="P16" s="49">
        <f t="shared" si="7"/>
        <v>11079</v>
      </c>
      <c r="Q16" s="49">
        <f t="shared" si="7"/>
        <v>-660.31</v>
      </c>
      <c r="R16" s="49">
        <f t="shared" si="3"/>
        <v>33314.69</v>
      </c>
      <c r="S16" s="49">
        <f>S14+S15</f>
        <v>0</v>
      </c>
      <c r="T16" s="49">
        <f t="shared" si="1"/>
        <v>33314.69</v>
      </c>
    </row>
    <row r="17" spans="2:20" ht="11.1" customHeight="1" x14ac:dyDescent="0.2">
      <c r="B17" s="239" t="s">
        <v>210</v>
      </c>
      <c r="C17" s="240"/>
      <c r="D17" s="240"/>
      <c r="E17" s="240"/>
      <c r="F17" s="240"/>
      <c r="G17" s="240"/>
      <c r="H17" s="73"/>
      <c r="I17" s="73"/>
      <c r="J17" s="73"/>
      <c r="K17" s="47"/>
      <c r="L17" s="239" t="s">
        <v>210</v>
      </c>
      <c r="M17" s="240"/>
      <c r="N17" s="240"/>
      <c r="O17" s="240"/>
      <c r="P17" s="240"/>
      <c r="Q17" s="240"/>
      <c r="R17" s="73"/>
      <c r="S17" s="73"/>
      <c r="T17" s="73"/>
    </row>
    <row r="18" spans="2:20" ht="11.1" customHeight="1" x14ac:dyDescent="0.2">
      <c r="B18" s="238" t="s">
        <v>204</v>
      </c>
      <c r="C18" s="238"/>
      <c r="D18" s="52">
        <v>76540</v>
      </c>
      <c r="E18" s="52">
        <v>48872</v>
      </c>
      <c r="F18" s="52">
        <v>56825</v>
      </c>
      <c r="G18" s="52">
        <v>0</v>
      </c>
      <c r="H18" s="52">
        <f t="shared" ref="H18:H29" si="8">SUM(D18:G18)</f>
        <v>182237</v>
      </c>
      <c r="I18" s="52">
        <v>5946</v>
      </c>
      <c r="J18" s="52">
        <f t="shared" ref="J18:J29" si="9">H18+I18</f>
        <v>188183</v>
      </c>
      <c r="K18" s="47"/>
      <c r="L18" s="238" t="s">
        <v>204</v>
      </c>
      <c r="M18" s="238"/>
      <c r="N18" s="52">
        <v>76540</v>
      </c>
      <c r="O18" s="52">
        <v>48872</v>
      </c>
      <c r="P18" s="52">
        <v>56825</v>
      </c>
      <c r="Q18" s="52">
        <v>0</v>
      </c>
      <c r="R18" s="52">
        <f t="shared" ref="R18:R29" si="10">SUM(N18:Q18)</f>
        <v>182237</v>
      </c>
      <c r="S18" s="52">
        <v>5946</v>
      </c>
      <c r="T18" s="52">
        <f t="shared" ref="T18:T29" si="11">R18+S18</f>
        <v>188183</v>
      </c>
    </row>
    <row r="19" spans="2:20" ht="11.1" customHeight="1" x14ac:dyDescent="0.2">
      <c r="B19" s="238" t="s">
        <v>33</v>
      </c>
      <c r="C19" s="238"/>
      <c r="D19" s="52">
        <v>53671</v>
      </c>
      <c r="E19" s="52">
        <v>35215</v>
      </c>
      <c r="F19" s="52">
        <f>35636-915</f>
        <v>34721</v>
      </c>
      <c r="G19" s="52">
        <v>0</v>
      </c>
      <c r="H19" s="52">
        <f t="shared" si="8"/>
        <v>123607</v>
      </c>
      <c r="I19" s="52">
        <v>5220</v>
      </c>
      <c r="J19" s="52">
        <f t="shared" si="9"/>
        <v>128827</v>
      </c>
      <c r="K19" s="47"/>
      <c r="L19" s="238" t="s">
        <v>33</v>
      </c>
      <c r="M19" s="238"/>
      <c r="N19" s="52">
        <v>53671</v>
      </c>
      <c r="O19" s="52">
        <v>35215</v>
      </c>
      <c r="P19" s="52">
        <f>35636-915</f>
        <v>34721</v>
      </c>
      <c r="Q19" s="52">
        <v>0</v>
      </c>
      <c r="R19" s="52">
        <f t="shared" si="10"/>
        <v>123607</v>
      </c>
      <c r="S19" s="52">
        <v>5220</v>
      </c>
      <c r="T19" s="52">
        <f t="shared" si="11"/>
        <v>128827</v>
      </c>
    </row>
    <row r="20" spans="2:20" ht="11.1" customHeight="1" x14ac:dyDescent="0.2">
      <c r="B20" s="232" t="s">
        <v>205</v>
      </c>
      <c r="C20" s="232"/>
      <c r="D20" s="49">
        <f>D18-D19</f>
        <v>22869</v>
      </c>
      <c r="E20" s="49">
        <f>E18-E19</f>
        <v>13657</v>
      </c>
      <c r="F20" s="49">
        <f>F18-F19</f>
        <v>22104</v>
      </c>
      <c r="G20" s="49">
        <f>G18-G19</f>
        <v>0</v>
      </c>
      <c r="H20" s="49">
        <f t="shared" si="8"/>
        <v>58630</v>
      </c>
      <c r="I20" s="49">
        <f>I18-I19</f>
        <v>726</v>
      </c>
      <c r="J20" s="49">
        <f t="shared" si="9"/>
        <v>59356</v>
      </c>
      <c r="K20" s="47"/>
      <c r="L20" s="232" t="s">
        <v>205</v>
      </c>
      <c r="M20" s="232"/>
      <c r="N20" s="49">
        <f>N18-N19</f>
        <v>22869</v>
      </c>
      <c r="O20" s="49">
        <f>O18-O19</f>
        <v>13657</v>
      </c>
      <c r="P20" s="49">
        <f>P18-P19</f>
        <v>22104</v>
      </c>
      <c r="Q20" s="49">
        <f>Q18-Q19</f>
        <v>0</v>
      </c>
      <c r="R20" s="49">
        <f t="shared" si="10"/>
        <v>58630</v>
      </c>
      <c r="S20" s="49">
        <f>S18-S19</f>
        <v>726</v>
      </c>
      <c r="T20" s="49">
        <f t="shared" si="11"/>
        <v>59356</v>
      </c>
    </row>
    <row r="21" spans="2:20" ht="11.1" customHeight="1" x14ac:dyDescent="0.2">
      <c r="B21" s="235" t="s">
        <v>4</v>
      </c>
      <c r="C21" s="236"/>
      <c r="D21" s="52">
        <v>3971</v>
      </c>
      <c r="E21" s="52">
        <v>1170</v>
      </c>
      <c r="F21" s="52">
        <f>3648-168</f>
        <v>3480</v>
      </c>
      <c r="G21" s="52">
        <v>60</v>
      </c>
      <c r="H21" s="52">
        <f t="shared" si="8"/>
        <v>8681</v>
      </c>
      <c r="I21" s="52">
        <v>44</v>
      </c>
      <c r="J21" s="52">
        <f t="shared" si="9"/>
        <v>8725</v>
      </c>
      <c r="K21" s="47"/>
      <c r="L21" s="235" t="s">
        <v>4</v>
      </c>
      <c r="M21" s="236"/>
      <c r="N21" s="52">
        <v>3971</v>
      </c>
      <c r="O21" s="52">
        <v>1170</v>
      </c>
      <c r="P21" s="52">
        <f>3648-168</f>
        <v>3480</v>
      </c>
      <c r="Q21" s="52">
        <v>60</v>
      </c>
      <c r="R21" s="52">
        <f t="shared" si="10"/>
        <v>8681</v>
      </c>
      <c r="S21" s="52">
        <v>44</v>
      </c>
      <c r="T21" s="52">
        <f t="shared" si="11"/>
        <v>8725</v>
      </c>
    </row>
    <row r="22" spans="2:20" ht="11.1" customHeight="1" x14ac:dyDescent="0.2">
      <c r="B22" s="235" t="s">
        <v>5</v>
      </c>
      <c r="C22" s="236"/>
      <c r="D22" s="52">
        <v>14526</v>
      </c>
      <c r="E22" s="52">
        <v>6642</v>
      </c>
      <c r="F22" s="52">
        <f>6671+1083</f>
        <v>7754</v>
      </c>
      <c r="G22" s="52">
        <v>716</v>
      </c>
      <c r="H22" s="52">
        <f t="shared" si="8"/>
        <v>29638</v>
      </c>
      <c r="I22" s="52"/>
      <c r="J22" s="52">
        <f t="shared" si="9"/>
        <v>29638</v>
      </c>
      <c r="K22" s="47"/>
      <c r="L22" s="235" t="s">
        <v>5</v>
      </c>
      <c r="M22" s="236"/>
      <c r="N22" s="52">
        <v>14526</v>
      </c>
      <c r="O22" s="52">
        <v>6642</v>
      </c>
      <c r="P22" s="52">
        <f>6671+1083</f>
        <v>7754</v>
      </c>
      <c r="Q22" s="52">
        <v>716</v>
      </c>
      <c r="R22" s="52">
        <f t="shared" si="10"/>
        <v>29638</v>
      </c>
      <c r="S22" s="52"/>
      <c r="T22" s="52">
        <f t="shared" si="11"/>
        <v>29638</v>
      </c>
    </row>
    <row r="23" spans="2:20" ht="11.1" customHeight="1" x14ac:dyDescent="0.2">
      <c r="B23" s="232" t="s">
        <v>206</v>
      </c>
      <c r="C23" s="232"/>
      <c r="D23" s="49">
        <f>D20-D21-D22</f>
        <v>4372</v>
      </c>
      <c r="E23" s="49">
        <f>E20-E21-E22</f>
        <v>5845</v>
      </c>
      <c r="F23" s="49">
        <f>F20-F21-F22</f>
        <v>10870</v>
      </c>
      <c r="G23" s="49">
        <f>G20-G21-G22</f>
        <v>-776</v>
      </c>
      <c r="H23" s="49">
        <f t="shared" si="8"/>
        <v>20311</v>
      </c>
      <c r="I23" s="49">
        <f>I20-I21-I22</f>
        <v>682</v>
      </c>
      <c r="J23" s="49">
        <f t="shared" si="9"/>
        <v>20993</v>
      </c>
      <c r="K23" s="47"/>
      <c r="L23" s="232" t="s">
        <v>206</v>
      </c>
      <c r="M23" s="232"/>
      <c r="N23" s="49">
        <f>N20-N21-N22</f>
        <v>4372</v>
      </c>
      <c r="O23" s="49">
        <f>O20-O21-O22</f>
        <v>5845</v>
      </c>
      <c r="P23" s="49">
        <f>P20-P21-P22</f>
        <v>10870</v>
      </c>
      <c r="Q23" s="49">
        <f>Q20-Q21-Q22</f>
        <v>-776</v>
      </c>
      <c r="R23" s="49">
        <f t="shared" si="10"/>
        <v>20311</v>
      </c>
      <c r="S23" s="49">
        <f>S20-S21-S22</f>
        <v>682</v>
      </c>
      <c r="T23" s="49">
        <f t="shared" si="11"/>
        <v>20993</v>
      </c>
    </row>
    <row r="24" spans="2:20" ht="11.1" customHeight="1" x14ac:dyDescent="0.2">
      <c r="B24" s="235" t="s">
        <v>207</v>
      </c>
      <c r="C24" s="236"/>
      <c r="D24" s="52">
        <v>-428</v>
      </c>
      <c r="E24" s="52">
        <v>-92</v>
      </c>
      <c r="F24" s="52">
        <v>-481</v>
      </c>
      <c r="G24" s="52">
        <v>0</v>
      </c>
      <c r="H24" s="52">
        <f t="shared" si="8"/>
        <v>-1001</v>
      </c>
      <c r="I24" s="52">
        <v>0</v>
      </c>
      <c r="J24" s="52">
        <f t="shared" si="9"/>
        <v>-1001</v>
      </c>
      <c r="K24" s="47"/>
      <c r="L24" s="235" t="s">
        <v>207</v>
      </c>
      <c r="M24" s="236"/>
      <c r="N24" s="52">
        <v>-428</v>
      </c>
      <c r="O24" s="52">
        <v>-92</v>
      </c>
      <c r="P24" s="52">
        <v>-481</v>
      </c>
      <c r="Q24" s="52">
        <v>0</v>
      </c>
      <c r="R24" s="52">
        <f t="shared" si="10"/>
        <v>-1001</v>
      </c>
      <c r="S24" s="52">
        <v>0</v>
      </c>
      <c r="T24" s="52">
        <f t="shared" si="11"/>
        <v>-1001</v>
      </c>
    </row>
    <row r="25" spans="2:20" ht="11.1" customHeight="1" x14ac:dyDescent="0.2">
      <c r="B25" s="237" t="s">
        <v>208</v>
      </c>
      <c r="C25" s="236"/>
      <c r="D25" s="52">
        <v>0</v>
      </c>
      <c r="E25" s="52">
        <v>0</v>
      </c>
      <c r="F25" s="52">
        <v>157</v>
      </c>
      <c r="G25" s="52">
        <v>0</v>
      </c>
      <c r="H25" s="52">
        <f t="shared" si="8"/>
        <v>157</v>
      </c>
      <c r="I25" s="52"/>
      <c r="J25" s="52">
        <f t="shared" si="9"/>
        <v>157</v>
      </c>
      <c r="K25" s="47"/>
      <c r="L25" s="237" t="s">
        <v>208</v>
      </c>
      <c r="M25" s="236"/>
      <c r="N25" s="52">
        <v>0</v>
      </c>
      <c r="O25" s="52">
        <v>0</v>
      </c>
      <c r="P25" s="52">
        <v>157</v>
      </c>
      <c r="Q25" s="52">
        <v>0</v>
      </c>
      <c r="R25" s="52">
        <f t="shared" si="10"/>
        <v>157</v>
      </c>
      <c r="S25" s="52"/>
      <c r="T25" s="52">
        <f t="shared" si="11"/>
        <v>157</v>
      </c>
    </row>
    <row r="26" spans="2:20" ht="11.1" customHeight="1" x14ac:dyDescent="0.2">
      <c r="B26" s="237" t="s">
        <v>27</v>
      </c>
      <c r="C26" s="236"/>
      <c r="D26" s="52"/>
      <c r="E26" s="52"/>
      <c r="F26" s="52"/>
      <c r="G26" s="52"/>
      <c r="H26" s="52">
        <f t="shared" si="8"/>
        <v>0</v>
      </c>
      <c r="I26" s="52">
        <v>0</v>
      </c>
      <c r="J26" s="52">
        <f t="shared" si="9"/>
        <v>0</v>
      </c>
      <c r="K26" s="47"/>
      <c r="L26" s="237" t="s">
        <v>27</v>
      </c>
      <c r="M26" s="236"/>
      <c r="N26" s="52"/>
      <c r="O26" s="52"/>
      <c r="P26" s="52"/>
      <c r="Q26" s="52"/>
      <c r="R26" s="52">
        <f t="shared" si="10"/>
        <v>0</v>
      </c>
      <c r="S26" s="52">
        <v>0</v>
      </c>
      <c r="T26" s="52">
        <f t="shared" si="11"/>
        <v>0</v>
      </c>
    </row>
    <row r="27" spans="2:20" ht="11.1" customHeight="1" x14ac:dyDescent="0.2">
      <c r="B27" s="232" t="s">
        <v>209</v>
      </c>
      <c r="C27" s="232"/>
      <c r="D27" s="49">
        <f>D23+D24+D25+D26</f>
        <v>3944</v>
      </c>
      <c r="E27" s="49">
        <f>E23+E24+E25+E26</f>
        <v>5753</v>
      </c>
      <c r="F27" s="49">
        <f>F23+F24+F25+F26</f>
        <v>10546</v>
      </c>
      <c r="G27" s="49">
        <f>G23+G24+G25+G26</f>
        <v>-776</v>
      </c>
      <c r="H27" s="49">
        <f t="shared" si="8"/>
        <v>19467</v>
      </c>
      <c r="I27" s="49">
        <f>I23+I24+I26</f>
        <v>682</v>
      </c>
      <c r="J27" s="49">
        <f t="shared" si="9"/>
        <v>20149</v>
      </c>
      <c r="K27" s="47"/>
      <c r="L27" s="232" t="s">
        <v>209</v>
      </c>
      <c r="M27" s="232"/>
      <c r="N27" s="49">
        <f>N23+N24+N25+N26</f>
        <v>3944</v>
      </c>
      <c r="O27" s="49">
        <f>O23+O24+O25+O26</f>
        <v>5753</v>
      </c>
      <c r="P27" s="49">
        <f>P23+P24+P25+P26</f>
        <v>10546</v>
      </c>
      <c r="Q27" s="49">
        <f>Q23+Q24+Q25+Q26</f>
        <v>-776</v>
      </c>
      <c r="R27" s="49">
        <f t="shared" si="10"/>
        <v>19467</v>
      </c>
      <c r="S27" s="49">
        <f>S23+S24+S26</f>
        <v>682</v>
      </c>
      <c r="T27" s="49">
        <f t="shared" si="11"/>
        <v>20149</v>
      </c>
    </row>
    <row r="28" spans="2:20" ht="11.1" customHeight="1" x14ac:dyDescent="0.2">
      <c r="B28" s="77" t="s">
        <v>22</v>
      </c>
      <c r="C28" s="78"/>
      <c r="D28" s="49">
        <v>5272</v>
      </c>
      <c r="E28" s="49">
        <v>2923</v>
      </c>
      <c r="F28" s="49">
        <v>1842</v>
      </c>
      <c r="G28" s="49">
        <v>0</v>
      </c>
      <c r="H28" s="49">
        <f t="shared" si="8"/>
        <v>10037</v>
      </c>
      <c r="I28" s="49">
        <v>0</v>
      </c>
      <c r="J28" s="49">
        <f t="shared" si="9"/>
        <v>10037</v>
      </c>
      <c r="K28" s="47"/>
      <c r="L28" s="77" t="s">
        <v>22</v>
      </c>
      <c r="M28" s="78"/>
      <c r="N28" s="49">
        <v>5272</v>
      </c>
      <c r="O28" s="49">
        <v>2923</v>
      </c>
      <c r="P28" s="49">
        <v>1842</v>
      </c>
      <c r="Q28" s="49">
        <v>0</v>
      </c>
      <c r="R28" s="49">
        <f t="shared" si="10"/>
        <v>10037</v>
      </c>
      <c r="S28" s="49">
        <v>0</v>
      </c>
      <c r="T28" s="49">
        <f t="shared" si="11"/>
        <v>10037</v>
      </c>
    </row>
    <row r="29" spans="2:20" ht="11.1" customHeight="1" x14ac:dyDescent="0.2">
      <c r="B29" s="233" t="s">
        <v>23</v>
      </c>
      <c r="C29" s="234"/>
      <c r="D29" s="49">
        <f>D27+D28</f>
        <v>9216</v>
      </c>
      <c r="E29" s="49">
        <f t="shared" ref="E29:G29" si="12">E27+E28</f>
        <v>8676</v>
      </c>
      <c r="F29" s="49">
        <f t="shared" si="12"/>
        <v>12388</v>
      </c>
      <c r="G29" s="49">
        <f t="shared" si="12"/>
        <v>-776</v>
      </c>
      <c r="H29" s="49">
        <f t="shared" si="8"/>
        <v>29504</v>
      </c>
      <c r="I29" s="49">
        <f t="shared" ref="I29" si="13">I27+I28</f>
        <v>682</v>
      </c>
      <c r="J29" s="49">
        <f t="shared" si="9"/>
        <v>30186</v>
      </c>
      <c r="K29" s="47"/>
      <c r="L29" s="233" t="s">
        <v>23</v>
      </c>
      <c r="M29" s="234"/>
      <c r="N29" s="49">
        <f>N27+N28</f>
        <v>9216</v>
      </c>
      <c r="O29" s="49">
        <f t="shared" ref="O29:Q29" si="14">O27+O28</f>
        <v>8676</v>
      </c>
      <c r="P29" s="49">
        <f t="shared" si="14"/>
        <v>12388</v>
      </c>
      <c r="Q29" s="49">
        <f t="shared" si="14"/>
        <v>-776</v>
      </c>
      <c r="R29" s="49">
        <f t="shared" si="10"/>
        <v>29504</v>
      </c>
      <c r="S29" s="49">
        <f t="shared" ref="S29" si="15">S27+S28</f>
        <v>682</v>
      </c>
      <c r="T29" s="49">
        <f t="shared" si="11"/>
        <v>30186</v>
      </c>
    </row>
    <row r="30" spans="2:20" ht="11.1" customHeight="1" x14ac:dyDescent="0.2">
      <c r="B30" s="83"/>
      <c r="C30" s="83"/>
      <c r="D30" s="84"/>
      <c r="E30" s="84"/>
      <c r="F30" s="84"/>
      <c r="G30" s="84"/>
      <c r="H30" s="84"/>
      <c r="I30" s="84"/>
      <c r="J30" s="84"/>
      <c r="K30" s="47"/>
      <c r="L30" s="83"/>
      <c r="M30" s="83"/>
      <c r="N30" s="84"/>
      <c r="O30" s="84"/>
      <c r="P30" s="84"/>
      <c r="Q30" s="84"/>
      <c r="R30" s="84"/>
      <c r="S30" s="84"/>
      <c r="T30" s="84"/>
    </row>
    <row r="31" spans="2:20" s="47" customFormat="1" ht="11.1" customHeight="1" x14ac:dyDescent="0.2">
      <c r="B31" s="79"/>
      <c r="C31" s="80"/>
      <c r="D31" s="79"/>
      <c r="E31" s="79"/>
      <c r="F31" s="79"/>
      <c r="G31" s="79"/>
      <c r="H31" s="79"/>
      <c r="I31" s="79"/>
      <c r="J31" s="79"/>
      <c r="L31" s="79"/>
      <c r="M31" s="80"/>
      <c r="N31" s="79"/>
      <c r="O31" s="79"/>
      <c r="P31" s="79"/>
      <c r="Q31" s="79"/>
      <c r="R31" s="79"/>
      <c r="S31" s="79"/>
      <c r="T31" s="79"/>
    </row>
    <row r="32" spans="2:20" s="47" customFormat="1" ht="11.1" customHeight="1" x14ac:dyDescent="0.2">
      <c r="B32" s="244" t="s">
        <v>59</v>
      </c>
      <c r="C32" s="245"/>
      <c r="D32" s="241" t="s">
        <v>196</v>
      </c>
      <c r="E32" s="241" t="s">
        <v>197</v>
      </c>
      <c r="F32" s="241" t="s">
        <v>198</v>
      </c>
      <c r="G32" s="241" t="s">
        <v>199</v>
      </c>
      <c r="H32" s="241" t="s">
        <v>200</v>
      </c>
      <c r="I32" s="241" t="s">
        <v>201</v>
      </c>
      <c r="J32" s="241" t="s">
        <v>202</v>
      </c>
      <c r="L32" s="244" t="s">
        <v>59</v>
      </c>
      <c r="M32" s="245"/>
      <c r="N32" s="241" t="s">
        <v>196</v>
      </c>
      <c r="O32" s="241" t="s">
        <v>197</v>
      </c>
      <c r="P32" s="241" t="s">
        <v>198</v>
      </c>
      <c r="Q32" s="241" t="s">
        <v>199</v>
      </c>
      <c r="R32" s="241" t="s">
        <v>200</v>
      </c>
      <c r="S32" s="241" t="s">
        <v>201</v>
      </c>
      <c r="T32" s="241" t="s">
        <v>202</v>
      </c>
    </row>
    <row r="33" spans="2:20" s="47" customFormat="1" ht="11.1" customHeight="1" x14ac:dyDescent="0.2">
      <c r="B33" s="246"/>
      <c r="C33" s="247"/>
      <c r="D33" s="242"/>
      <c r="E33" s="242"/>
      <c r="F33" s="242"/>
      <c r="G33" s="242"/>
      <c r="H33" s="242"/>
      <c r="I33" s="242"/>
      <c r="J33" s="243"/>
      <c r="L33" s="246"/>
      <c r="M33" s="247"/>
      <c r="N33" s="242"/>
      <c r="O33" s="242"/>
      <c r="P33" s="242"/>
      <c r="Q33" s="242"/>
      <c r="R33" s="242"/>
      <c r="S33" s="242"/>
      <c r="T33" s="243"/>
    </row>
    <row r="34" spans="2:20" s="47" customFormat="1" ht="11.1" customHeight="1" x14ac:dyDescent="0.2">
      <c r="B34" s="248" t="s">
        <v>211</v>
      </c>
      <c r="C34" s="249"/>
      <c r="D34" s="249"/>
      <c r="E34" s="249"/>
      <c r="F34" s="249"/>
      <c r="G34" s="249"/>
      <c r="H34" s="73"/>
      <c r="I34" s="73"/>
      <c r="J34" s="74"/>
      <c r="L34" s="248" t="s">
        <v>212</v>
      </c>
      <c r="M34" s="249"/>
      <c r="N34" s="249"/>
      <c r="O34" s="249"/>
      <c r="P34" s="249"/>
      <c r="Q34" s="249"/>
      <c r="R34" s="73"/>
      <c r="S34" s="73"/>
      <c r="T34" s="74"/>
    </row>
    <row r="35" spans="2:20" s="47" customFormat="1" ht="11.1" customHeight="1" x14ac:dyDescent="0.2">
      <c r="B35" s="238" t="s">
        <v>204</v>
      </c>
      <c r="C35" s="238"/>
      <c r="D35" s="52">
        <v>185111</v>
      </c>
      <c r="E35" s="52">
        <v>111219</v>
      </c>
      <c r="F35" s="52">
        <v>126931</v>
      </c>
      <c r="G35" s="52">
        <v>0</v>
      </c>
      <c r="H35" s="52">
        <f>SUM(D35:G35)</f>
        <v>423261</v>
      </c>
      <c r="I35" s="52"/>
      <c r="J35" s="52">
        <f t="shared" ref="J35:J46" si="16">H35+I35</f>
        <v>423261</v>
      </c>
      <c r="L35" s="238" t="s">
        <v>204</v>
      </c>
      <c r="M35" s="238"/>
      <c r="N35" s="52">
        <f t="shared" ref="N35:Q36" si="17">D35-D5</f>
        <v>90028</v>
      </c>
      <c r="O35" s="52">
        <f t="shared" si="17"/>
        <v>54517</v>
      </c>
      <c r="P35" s="52">
        <f t="shared" si="17"/>
        <v>66237</v>
      </c>
      <c r="Q35" s="52">
        <f t="shared" si="17"/>
        <v>0</v>
      </c>
      <c r="R35" s="52">
        <f>SUM(N35:Q35)</f>
        <v>210782</v>
      </c>
      <c r="S35" s="52">
        <f>I35-I5</f>
        <v>0</v>
      </c>
      <c r="T35" s="52">
        <f t="shared" ref="T35:T46" si="18">R35+S35</f>
        <v>210782</v>
      </c>
    </row>
    <row r="36" spans="2:20" s="47" customFormat="1" ht="11.1" customHeight="1" x14ac:dyDescent="0.2">
      <c r="B36" s="238" t="s">
        <v>33</v>
      </c>
      <c r="C36" s="238"/>
      <c r="D36" s="52">
        <v>133948</v>
      </c>
      <c r="E36" s="52">
        <v>85218</v>
      </c>
      <c r="F36" s="52">
        <v>77804</v>
      </c>
      <c r="G36" s="52">
        <v>0</v>
      </c>
      <c r="H36" s="52">
        <f t="shared" ref="H36:H46" si="19">SUM(D36:G36)</f>
        <v>296970</v>
      </c>
      <c r="I36" s="52"/>
      <c r="J36" s="52">
        <f t="shared" si="16"/>
        <v>296970</v>
      </c>
      <c r="L36" s="238" t="s">
        <v>33</v>
      </c>
      <c r="M36" s="238"/>
      <c r="N36" s="52">
        <f t="shared" si="17"/>
        <v>64831</v>
      </c>
      <c r="O36" s="52">
        <f t="shared" si="17"/>
        <v>42715</v>
      </c>
      <c r="P36" s="52">
        <f t="shared" si="17"/>
        <v>40316</v>
      </c>
      <c r="Q36" s="52">
        <f t="shared" si="17"/>
        <v>0</v>
      </c>
      <c r="R36" s="52">
        <f t="shared" ref="R36:R46" si="20">SUM(N36:Q36)</f>
        <v>147862</v>
      </c>
      <c r="S36" s="52">
        <f>I36-I6</f>
        <v>0</v>
      </c>
      <c r="T36" s="52">
        <f t="shared" si="18"/>
        <v>147862</v>
      </c>
    </row>
    <row r="37" spans="2:20" s="47" customFormat="1" ht="11.1" customHeight="1" x14ac:dyDescent="0.2">
      <c r="B37" s="232" t="s">
        <v>205</v>
      </c>
      <c r="C37" s="232"/>
      <c r="D37" s="49">
        <f>D35-D36</f>
        <v>51163</v>
      </c>
      <c r="E37" s="49">
        <f>E35-E36</f>
        <v>26001</v>
      </c>
      <c r="F37" s="49">
        <f>F35-F36</f>
        <v>49127</v>
      </c>
      <c r="G37" s="49">
        <f>G35-G36</f>
        <v>0</v>
      </c>
      <c r="H37" s="49">
        <f t="shared" si="19"/>
        <v>126291</v>
      </c>
      <c r="I37" s="49">
        <f>I35-I36</f>
        <v>0</v>
      </c>
      <c r="J37" s="49">
        <f t="shared" si="16"/>
        <v>126291</v>
      </c>
      <c r="L37" s="232" t="s">
        <v>205</v>
      </c>
      <c r="M37" s="232"/>
      <c r="N37" s="49">
        <f>N35-N36</f>
        <v>25197</v>
      </c>
      <c r="O37" s="49">
        <f>O35-O36</f>
        <v>11802</v>
      </c>
      <c r="P37" s="49">
        <f>P35-P36</f>
        <v>25921</v>
      </c>
      <c r="Q37" s="49">
        <f>Q35-Q36</f>
        <v>0</v>
      </c>
      <c r="R37" s="49">
        <f t="shared" si="20"/>
        <v>62920</v>
      </c>
      <c r="S37" s="49">
        <f>S35-S36</f>
        <v>0</v>
      </c>
      <c r="T37" s="49">
        <f t="shared" si="18"/>
        <v>62920</v>
      </c>
    </row>
    <row r="38" spans="2:20" s="47" customFormat="1" ht="11.1" customHeight="1" x14ac:dyDescent="0.2">
      <c r="B38" s="235" t="s">
        <v>4</v>
      </c>
      <c r="C38" s="236"/>
      <c r="D38" s="52">
        <v>8299</v>
      </c>
      <c r="E38" s="52">
        <v>2837</v>
      </c>
      <c r="F38" s="52">
        <v>8033</v>
      </c>
      <c r="G38" s="52">
        <v>191</v>
      </c>
      <c r="H38" s="52">
        <f t="shared" si="19"/>
        <v>19360</v>
      </c>
      <c r="I38" s="52"/>
      <c r="J38" s="52">
        <f t="shared" si="16"/>
        <v>19360</v>
      </c>
      <c r="L38" s="235" t="s">
        <v>4</v>
      </c>
      <c r="M38" s="236"/>
      <c r="N38" s="52">
        <f t="shared" ref="N38:Q39" si="21">D38-D8</f>
        <v>4761</v>
      </c>
      <c r="O38" s="52">
        <f t="shared" si="21"/>
        <v>1572</v>
      </c>
      <c r="P38" s="52">
        <f t="shared" si="21"/>
        <v>4109</v>
      </c>
      <c r="Q38" s="52">
        <f t="shared" si="21"/>
        <v>110.69</v>
      </c>
      <c r="R38" s="52">
        <f t="shared" si="20"/>
        <v>10552.69</v>
      </c>
      <c r="S38" s="52">
        <f>I38-I8</f>
        <v>0</v>
      </c>
      <c r="T38" s="52">
        <f t="shared" si="18"/>
        <v>10552.69</v>
      </c>
    </row>
    <row r="39" spans="2:20" s="47" customFormat="1" ht="11.1" customHeight="1" x14ac:dyDescent="0.2">
      <c r="B39" s="235" t="s">
        <v>5</v>
      </c>
      <c r="C39" s="236"/>
      <c r="D39" s="52">
        <v>29781</v>
      </c>
      <c r="E39" s="52">
        <v>12277</v>
      </c>
      <c r="F39" s="52">
        <v>20253</v>
      </c>
      <c r="G39" s="52">
        <v>1543</v>
      </c>
      <c r="H39" s="52">
        <f t="shared" si="19"/>
        <v>63854</v>
      </c>
      <c r="I39" s="52"/>
      <c r="J39" s="52">
        <f t="shared" si="16"/>
        <v>63854</v>
      </c>
      <c r="L39" s="235" t="s">
        <v>5</v>
      </c>
      <c r="M39" s="236"/>
      <c r="N39" s="52">
        <f t="shared" si="21"/>
        <v>14777</v>
      </c>
      <c r="O39" s="52">
        <f t="shared" si="21"/>
        <v>5810</v>
      </c>
      <c r="P39" s="52">
        <f t="shared" si="21"/>
        <v>10081</v>
      </c>
      <c r="Q39" s="52">
        <f t="shared" si="21"/>
        <v>963</v>
      </c>
      <c r="R39" s="52">
        <f t="shared" si="20"/>
        <v>31631</v>
      </c>
      <c r="S39" s="52">
        <f>I39-I9</f>
        <v>0</v>
      </c>
      <c r="T39" s="52">
        <f t="shared" si="18"/>
        <v>31631</v>
      </c>
    </row>
    <row r="40" spans="2:20" s="47" customFormat="1" ht="11.1" customHeight="1" x14ac:dyDescent="0.2">
      <c r="B40" s="232" t="s">
        <v>206</v>
      </c>
      <c r="C40" s="232"/>
      <c r="D40" s="49">
        <f>D37-D38-D39</f>
        <v>13083</v>
      </c>
      <c r="E40" s="49">
        <f>E37-E38-E39</f>
        <v>10887</v>
      </c>
      <c r="F40" s="49">
        <f>F37-F38-F39</f>
        <v>20841</v>
      </c>
      <c r="G40" s="49">
        <f>G37-G38-G39</f>
        <v>-1734</v>
      </c>
      <c r="H40" s="49">
        <f t="shared" si="19"/>
        <v>43077</v>
      </c>
      <c r="I40" s="49">
        <f>I37-I38-I39</f>
        <v>0</v>
      </c>
      <c r="J40" s="49">
        <f t="shared" si="16"/>
        <v>43077</v>
      </c>
      <c r="L40" s="232" t="s">
        <v>206</v>
      </c>
      <c r="M40" s="232"/>
      <c r="N40" s="49">
        <f>N37-N38-N39</f>
        <v>5659</v>
      </c>
      <c r="O40" s="49">
        <f>O37-O38-O39</f>
        <v>4420</v>
      </c>
      <c r="P40" s="49">
        <f>P37-P38-P39</f>
        <v>11731</v>
      </c>
      <c r="Q40" s="49">
        <f>Q37-Q38-Q39</f>
        <v>-1073.69</v>
      </c>
      <c r="R40" s="49">
        <f t="shared" si="20"/>
        <v>20736.310000000001</v>
      </c>
      <c r="S40" s="49">
        <f>S37-S38-S39</f>
        <v>0</v>
      </c>
      <c r="T40" s="49">
        <f t="shared" si="18"/>
        <v>20736.310000000001</v>
      </c>
    </row>
    <row r="41" spans="2:20" s="47" customFormat="1" ht="11.1" customHeight="1" x14ac:dyDescent="0.2">
      <c r="B41" s="235" t="s">
        <v>207</v>
      </c>
      <c r="C41" s="236"/>
      <c r="D41" s="52">
        <v>-659</v>
      </c>
      <c r="E41" s="52">
        <v>-36</v>
      </c>
      <c r="F41" s="52">
        <v>-1387</v>
      </c>
      <c r="G41" s="52">
        <v>0</v>
      </c>
      <c r="H41" s="52">
        <f t="shared" si="19"/>
        <v>-2082</v>
      </c>
      <c r="I41" s="52">
        <v>0</v>
      </c>
      <c r="J41" s="52">
        <f t="shared" si="16"/>
        <v>-2082</v>
      </c>
      <c r="L41" s="235" t="s">
        <v>207</v>
      </c>
      <c r="M41" s="236"/>
      <c r="N41" s="52">
        <f t="shared" ref="N41:P43" si="22">D41-D11</f>
        <v>-407</v>
      </c>
      <c r="O41" s="52">
        <f t="shared" si="22"/>
        <v>40</v>
      </c>
      <c r="P41" s="52">
        <f t="shared" si="22"/>
        <v>-758</v>
      </c>
      <c r="Q41" s="52">
        <v>0</v>
      </c>
      <c r="R41" s="52">
        <f t="shared" si="20"/>
        <v>-1125</v>
      </c>
      <c r="S41" s="52">
        <f>I41-I11</f>
        <v>0</v>
      </c>
      <c r="T41" s="52">
        <f t="shared" si="18"/>
        <v>-1125</v>
      </c>
    </row>
    <row r="42" spans="2:20" s="47" customFormat="1" ht="11.1" customHeight="1" x14ac:dyDescent="0.2">
      <c r="B42" s="237" t="s">
        <v>208</v>
      </c>
      <c r="C42" s="236"/>
      <c r="D42" s="52">
        <v>0</v>
      </c>
      <c r="E42" s="52">
        <v>0</v>
      </c>
      <c r="F42" s="52">
        <v>563</v>
      </c>
      <c r="G42" s="52">
        <v>0</v>
      </c>
      <c r="H42" s="52">
        <f t="shared" si="19"/>
        <v>563</v>
      </c>
      <c r="I42" s="52"/>
      <c r="J42" s="52">
        <f t="shared" si="16"/>
        <v>563</v>
      </c>
      <c r="L42" s="237" t="s">
        <v>208</v>
      </c>
      <c r="M42" s="236"/>
      <c r="N42" s="52">
        <f t="shared" si="22"/>
        <v>0</v>
      </c>
      <c r="O42" s="52">
        <f t="shared" si="22"/>
        <v>0</v>
      </c>
      <c r="P42" s="52">
        <f t="shared" si="22"/>
        <v>328</v>
      </c>
      <c r="Q42" s="52">
        <v>0</v>
      </c>
      <c r="R42" s="52">
        <f t="shared" si="20"/>
        <v>328</v>
      </c>
      <c r="S42" s="52">
        <f>I42-I12</f>
        <v>0</v>
      </c>
      <c r="T42" s="52">
        <f t="shared" si="18"/>
        <v>328</v>
      </c>
    </row>
    <row r="43" spans="2:20" s="47" customFormat="1" ht="11.1" customHeight="1" x14ac:dyDescent="0.2">
      <c r="B43" s="237" t="s">
        <v>27</v>
      </c>
      <c r="C43" s="236"/>
      <c r="D43" s="52">
        <v>0</v>
      </c>
      <c r="E43" s="52">
        <v>0</v>
      </c>
      <c r="F43" s="52">
        <v>0</v>
      </c>
      <c r="G43" s="52">
        <v>0</v>
      </c>
      <c r="H43" s="52">
        <f t="shared" si="19"/>
        <v>0</v>
      </c>
      <c r="I43" s="52">
        <v>0</v>
      </c>
      <c r="J43" s="52">
        <f t="shared" si="16"/>
        <v>0</v>
      </c>
      <c r="L43" s="237" t="s">
        <v>27</v>
      </c>
      <c r="M43" s="236"/>
      <c r="N43" s="52">
        <f t="shared" si="22"/>
        <v>0</v>
      </c>
      <c r="O43" s="52">
        <f t="shared" si="22"/>
        <v>0</v>
      </c>
      <c r="P43" s="52">
        <f t="shared" si="22"/>
        <v>0</v>
      </c>
      <c r="Q43" s="52">
        <v>0</v>
      </c>
      <c r="R43" s="52">
        <f t="shared" si="20"/>
        <v>0</v>
      </c>
      <c r="S43" s="52">
        <f>I43-I13</f>
        <v>0</v>
      </c>
      <c r="T43" s="52">
        <f t="shared" si="18"/>
        <v>0</v>
      </c>
    </row>
    <row r="44" spans="2:20" s="47" customFormat="1" ht="11.1" customHeight="1" x14ac:dyDescent="0.2">
      <c r="B44" s="232" t="s">
        <v>209</v>
      </c>
      <c r="C44" s="232"/>
      <c r="D44" s="49">
        <f t="shared" ref="D44:G44" si="23">D40+D41+D42+D43</f>
        <v>12424</v>
      </c>
      <c r="E44" s="49">
        <f t="shared" si="23"/>
        <v>10851</v>
      </c>
      <c r="F44" s="49">
        <f t="shared" si="23"/>
        <v>20017</v>
      </c>
      <c r="G44" s="49">
        <f t="shared" si="23"/>
        <v>-1734</v>
      </c>
      <c r="H44" s="49">
        <f t="shared" si="19"/>
        <v>41558</v>
      </c>
      <c r="I44" s="49">
        <f>I40+I41+I43</f>
        <v>0</v>
      </c>
      <c r="J44" s="49">
        <f t="shared" si="16"/>
        <v>41558</v>
      </c>
      <c r="L44" s="232" t="s">
        <v>209</v>
      </c>
      <c r="M44" s="232"/>
      <c r="N44" s="49">
        <f t="shared" ref="N44:Q44" si="24">N40+N41+N42+N43</f>
        <v>5252</v>
      </c>
      <c r="O44" s="49">
        <f t="shared" si="24"/>
        <v>4460</v>
      </c>
      <c r="P44" s="49">
        <f t="shared" si="24"/>
        <v>11301</v>
      </c>
      <c r="Q44" s="49">
        <f t="shared" si="24"/>
        <v>-1073.69</v>
      </c>
      <c r="R44" s="49">
        <f t="shared" si="20"/>
        <v>19939.310000000001</v>
      </c>
      <c r="S44" s="49">
        <f>S40+S41+S43</f>
        <v>0</v>
      </c>
      <c r="T44" s="49">
        <f t="shared" si="18"/>
        <v>19939.310000000001</v>
      </c>
    </row>
    <row r="45" spans="2:20" s="47" customFormat="1" ht="11.1" customHeight="1" x14ac:dyDescent="0.2">
      <c r="B45" s="77" t="s">
        <v>22</v>
      </c>
      <c r="C45" s="78"/>
      <c r="D45" s="49">
        <v>12267</v>
      </c>
      <c r="E45" s="49">
        <v>7891</v>
      </c>
      <c r="F45" s="49">
        <v>4513</v>
      </c>
      <c r="G45" s="49">
        <v>0</v>
      </c>
      <c r="H45" s="49">
        <f t="shared" si="19"/>
        <v>24671</v>
      </c>
      <c r="I45" s="49">
        <v>0</v>
      </c>
      <c r="J45" s="49">
        <f t="shared" si="16"/>
        <v>24671</v>
      </c>
      <c r="L45" s="77" t="s">
        <v>22</v>
      </c>
      <c r="M45" s="78"/>
      <c r="N45" s="49">
        <f>D45-D15</f>
        <v>6303</v>
      </c>
      <c r="O45" s="49">
        <f>E45-E15</f>
        <v>4522</v>
      </c>
      <c r="P45" s="49">
        <f>F45-F15</f>
        <v>2150</v>
      </c>
      <c r="Q45" s="49">
        <f>G45-G15</f>
        <v>0</v>
      </c>
      <c r="R45" s="49">
        <f t="shared" si="20"/>
        <v>12975</v>
      </c>
      <c r="S45" s="49">
        <f>I45-I15</f>
        <v>0</v>
      </c>
      <c r="T45" s="49">
        <f t="shared" si="18"/>
        <v>12975</v>
      </c>
    </row>
    <row r="46" spans="2:20" s="47" customFormat="1" ht="11.1" customHeight="1" x14ac:dyDescent="0.2">
      <c r="B46" s="233" t="s">
        <v>23</v>
      </c>
      <c r="C46" s="234"/>
      <c r="D46" s="49">
        <f>D44+D45</f>
        <v>24691</v>
      </c>
      <c r="E46" s="49">
        <f t="shared" ref="E46:G46" si="25">E44+E45</f>
        <v>18742</v>
      </c>
      <c r="F46" s="49">
        <f t="shared" si="25"/>
        <v>24530</v>
      </c>
      <c r="G46" s="49">
        <f t="shared" si="25"/>
        <v>-1734</v>
      </c>
      <c r="H46" s="49">
        <f t="shared" si="19"/>
        <v>66229</v>
      </c>
      <c r="I46" s="49">
        <f>I44+I45</f>
        <v>0</v>
      </c>
      <c r="J46" s="49">
        <f t="shared" si="16"/>
        <v>66229</v>
      </c>
      <c r="L46" s="233" t="s">
        <v>23</v>
      </c>
      <c r="M46" s="234"/>
      <c r="N46" s="49">
        <f>N44+N45</f>
        <v>11555</v>
      </c>
      <c r="O46" s="49">
        <f t="shared" ref="O46:Q46" si="26">O44+O45</f>
        <v>8982</v>
      </c>
      <c r="P46" s="49">
        <f t="shared" si="26"/>
        <v>13451</v>
      </c>
      <c r="Q46" s="49">
        <f t="shared" si="26"/>
        <v>-1073.69</v>
      </c>
      <c r="R46" s="49">
        <f t="shared" si="20"/>
        <v>32914.31</v>
      </c>
      <c r="S46" s="49">
        <f>S44+S45</f>
        <v>0</v>
      </c>
      <c r="T46" s="49">
        <f t="shared" si="18"/>
        <v>32914.31</v>
      </c>
    </row>
    <row r="47" spans="2:20" s="47" customFormat="1" ht="11.1" customHeight="1" x14ac:dyDescent="0.2">
      <c r="B47" s="239" t="s">
        <v>213</v>
      </c>
      <c r="C47" s="240"/>
      <c r="D47" s="240"/>
      <c r="E47" s="240"/>
      <c r="F47" s="240"/>
      <c r="G47" s="240"/>
      <c r="H47" s="73"/>
      <c r="I47" s="73"/>
      <c r="J47" s="73"/>
      <c r="L47" s="239" t="s">
        <v>214</v>
      </c>
      <c r="M47" s="240"/>
      <c r="N47" s="240"/>
      <c r="O47" s="240"/>
      <c r="P47" s="240"/>
      <c r="Q47" s="240"/>
      <c r="R47" s="73"/>
      <c r="S47" s="73"/>
      <c r="T47" s="73"/>
    </row>
    <row r="48" spans="2:20" s="47" customFormat="1" ht="11.1" customHeight="1" x14ac:dyDescent="0.2">
      <c r="B48" s="238" t="s">
        <v>204</v>
      </c>
      <c r="C48" s="238"/>
      <c r="D48" s="52">
        <v>174599</v>
      </c>
      <c r="E48" s="52">
        <v>94169</v>
      </c>
      <c r="F48" s="52">
        <v>115768</v>
      </c>
      <c r="G48" s="52">
        <v>0</v>
      </c>
      <c r="H48" s="52">
        <f t="shared" ref="H48:H59" si="27">SUM(D48:G48)</f>
        <v>384536</v>
      </c>
      <c r="I48" s="52">
        <v>11540</v>
      </c>
      <c r="J48" s="52">
        <f t="shared" ref="J48:J59" si="28">H48+I48</f>
        <v>396076</v>
      </c>
      <c r="L48" s="238" t="s">
        <v>204</v>
      </c>
      <c r="M48" s="238"/>
      <c r="N48" s="52">
        <f t="shared" ref="N48:Q49" si="29">D48-D18</f>
        <v>98059</v>
      </c>
      <c r="O48" s="52">
        <f t="shared" si="29"/>
        <v>45297</v>
      </c>
      <c r="P48" s="52">
        <f t="shared" si="29"/>
        <v>58943</v>
      </c>
      <c r="Q48" s="52">
        <f t="shared" si="29"/>
        <v>0</v>
      </c>
      <c r="R48" s="52">
        <f>SUM(N48:Q48)</f>
        <v>202299</v>
      </c>
      <c r="S48" s="52">
        <f>I48-I18</f>
        <v>5594</v>
      </c>
      <c r="T48" s="52">
        <f t="shared" ref="T48:T59" si="30">R48+S48</f>
        <v>207893</v>
      </c>
    </row>
    <row r="49" spans="2:20" s="47" customFormat="1" ht="11.1" customHeight="1" x14ac:dyDescent="0.2">
      <c r="B49" s="238" t="s">
        <v>33</v>
      </c>
      <c r="C49" s="238"/>
      <c r="D49" s="52">
        <v>121438</v>
      </c>
      <c r="E49" s="52">
        <v>70137</v>
      </c>
      <c r="F49" s="52">
        <v>69623</v>
      </c>
      <c r="G49" s="52">
        <v>0</v>
      </c>
      <c r="H49" s="52">
        <f t="shared" si="27"/>
        <v>261198</v>
      </c>
      <c r="I49" s="52">
        <v>10382</v>
      </c>
      <c r="J49" s="52">
        <f t="shared" si="28"/>
        <v>271580</v>
      </c>
      <c r="L49" s="238" t="s">
        <v>33</v>
      </c>
      <c r="M49" s="238"/>
      <c r="N49" s="52">
        <f t="shared" si="29"/>
        <v>67767</v>
      </c>
      <c r="O49" s="52">
        <f t="shared" si="29"/>
        <v>34922</v>
      </c>
      <c r="P49" s="52">
        <f t="shared" si="29"/>
        <v>34902</v>
      </c>
      <c r="Q49" s="52">
        <f t="shared" si="29"/>
        <v>0</v>
      </c>
      <c r="R49" s="52">
        <f t="shared" ref="R49:R59" si="31">SUM(N49:Q49)</f>
        <v>137591</v>
      </c>
      <c r="S49" s="52">
        <f>I49-I19</f>
        <v>5162</v>
      </c>
      <c r="T49" s="52">
        <f t="shared" si="30"/>
        <v>142753</v>
      </c>
    </row>
    <row r="50" spans="2:20" s="47" customFormat="1" ht="11.1" customHeight="1" x14ac:dyDescent="0.2">
      <c r="B50" s="232" t="s">
        <v>205</v>
      </c>
      <c r="C50" s="232"/>
      <c r="D50" s="49">
        <f>D48-D49</f>
        <v>53161</v>
      </c>
      <c r="E50" s="49">
        <f>E48-E49</f>
        <v>24032</v>
      </c>
      <c r="F50" s="49">
        <f>F48-F49</f>
        <v>46145</v>
      </c>
      <c r="G50" s="49">
        <f>G48-G49</f>
        <v>0</v>
      </c>
      <c r="H50" s="49">
        <f t="shared" si="27"/>
        <v>123338</v>
      </c>
      <c r="I50" s="49">
        <f>I48-I49</f>
        <v>1158</v>
      </c>
      <c r="J50" s="49">
        <f t="shared" si="28"/>
        <v>124496</v>
      </c>
      <c r="L50" s="232" t="s">
        <v>205</v>
      </c>
      <c r="M50" s="232"/>
      <c r="N50" s="49">
        <f>N48-N49</f>
        <v>30292</v>
      </c>
      <c r="O50" s="49">
        <f>O48-O49</f>
        <v>10375</v>
      </c>
      <c r="P50" s="49">
        <f>P48-P49</f>
        <v>24041</v>
      </c>
      <c r="Q50" s="49">
        <f>Q48-Q49</f>
        <v>0</v>
      </c>
      <c r="R50" s="49">
        <f t="shared" si="31"/>
        <v>64708</v>
      </c>
      <c r="S50" s="49">
        <f>S48-S49</f>
        <v>432</v>
      </c>
      <c r="T50" s="49">
        <f t="shared" si="30"/>
        <v>65140</v>
      </c>
    </row>
    <row r="51" spans="2:20" s="47" customFormat="1" ht="11.1" customHeight="1" x14ac:dyDescent="0.2">
      <c r="B51" s="235" t="s">
        <v>4</v>
      </c>
      <c r="C51" s="236"/>
      <c r="D51" s="52">
        <v>8342</v>
      </c>
      <c r="E51" s="52">
        <v>2648</v>
      </c>
      <c r="F51" s="52">
        <v>7527</v>
      </c>
      <c r="G51" s="52">
        <v>120</v>
      </c>
      <c r="H51" s="52">
        <f t="shared" si="27"/>
        <v>18637</v>
      </c>
      <c r="I51" s="52">
        <v>110</v>
      </c>
      <c r="J51" s="52">
        <f t="shared" si="28"/>
        <v>18747</v>
      </c>
      <c r="L51" s="235" t="s">
        <v>4</v>
      </c>
      <c r="M51" s="236"/>
      <c r="N51" s="52">
        <f t="shared" ref="N51:Q52" si="32">D51-D21</f>
        <v>4371</v>
      </c>
      <c r="O51" s="52">
        <f t="shared" si="32"/>
        <v>1478</v>
      </c>
      <c r="P51" s="52">
        <f t="shared" si="32"/>
        <v>4047</v>
      </c>
      <c r="Q51" s="52">
        <f t="shared" si="32"/>
        <v>60</v>
      </c>
      <c r="R51" s="52">
        <f t="shared" si="31"/>
        <v>9956</v>
      </c>
      <c r="S51" s="52">
        <f>I51-I21</f>
        <v>66</v>
      </c>
      <c r="T51" s="52">
        <f t="shared" si="30"/>
        <v>10022</v>
      </c>
    </row>
    <row r="52" spans="2:20" s="47" customFormat="1" ht="11.1" customHeight="1" x14ac:dyDescent="0.2">
      <c r="B52" s="235" t="s">
        <v>5</v>
      </c>
      <c r="C52" s="236"/>
      <c r="D52" s="52">
        <v>29213</v>
      </c>
      <c r="E52" s="52">
        <v>11394</v>
      </c>
      <c r="F52" s="52">
        <v>16945</v>
      </c>
      <c r="G52" s="52">
        <v>1348.44</v>
      </c>
      <c r="H52" s="52">
        <f t="shared" si="27"/>
        <v>58900.44</v>
      </c>
      <c r="I52" s="52">
        <v>210</v>
      </c>
      <c r="J52" s="52">
        <f t="shared" si="28"/>
        <v>59110.44</v>
      </c>
      <c r="L52" s="235" t="s">
        <v>5</v>
      </c>
      <c r="M52" s="236"/>
      <c r="N52" s="52">
        <f t="shared" si="32"/>
        <v>14687</v>
      </c>
      <c r="O52" s="52">
        <f t="shared" si="32"/>
        <v>4752</v>
      </c>
      <c r="P52" s="52">
        <f t="shared" si="32"/>
        <v>9191</v>
      </c>
      <c r="Q52" s="52">
        <f t="shared" si="32"/>
        <v>632.44000000000005</v>
      </c>
      <c r="R52" s="52">
        <f t="shared" si="31"/>
        <v>29262.44</v>
      </c>
      <c r="S52" s="52">
        <f>I52-I22</f>
        <v>210</v>
      </c>
      <c r="T52" s="52">
        <f t="shared" si="30"/>
        <v>29472.44</v>
      </c>
    </row>
    <row r="53" spans="2:20" s="47" customFormat="1" ht="11.1" customHeight="1" x14ac:dyDescent="0.2">
      <c r="B53" s="232" t="s">
        <v>206</v>
      </c>
      <c r="C53" s="232"/>
      <c r="D53" s="49">
        <f>D50-D51-D52</f>
        <v>15606</v>
      </c>
      <c r="E53" s="49">
        <f>E50-E51-E52</f>
        <v>9990</v>
      </c>
      <c r="F53" s="49">
        <f>F50-F51-F52</f>
        <v>21673</v>
      </c>
      <c r="G53" s="49">
        <f>G50-G51-G52</f>
        <v>-1468.44</v>
      </c>
      <c r="H53" s="49">
        <f t="shared" si="27"/>
        <v>45800.56</v>
      </c>
      <c r="I53" s="49">
        <f>I50-I51-I52</f>
        <v>838</v>
      </c>
      <c r="J53" s="49">
        <f t="shared" si="28"/>
        <v>46638.559999999998</v>
      </c>
      <c r="L53" s="232" t="s">
        <v>206</v>
      </c>
      <c r="M53" s="232"/>
      <c r="N53" s="49">
        <f>N50-N51-N52</f>
        <v>11234</v>
      </c>
      <c r="O53" s="49">
        <f>O50-O51-O52</f>
        <v>4145</v>
      </c>
      <c r="P53" s="49">
        <f>P50-P51-P52</f>
        <v>10803</v>
      </c>
      <c r="Q53" s="49">
        <f>Q50-Q51-Q52</f>
        <v>-692.44</v>
      </c>
      <c r="R53" s="49">
        <f t="shared" si="31"/>
        <v>25489.56</v>
      </c>
      <c r="S53" s="49">
        <f>S50-S51-S52</f>
        <v>156</v>
      </c>
      <c r="T53" s="49">
        <f t="shared" si="30"/>
        <v>25645.56</v>
      </c>
    </row>
    <row r="54" spans="2:20" s="47" customFormat="1" ht="11.1" customHeight="1" x14ac:dyDescent="0.2">
      <c r="B54" s="235" t="s">
        <v>207</v>
      </c>
      <c r="C54" s="236"/>
      <c r="D54" s="52">
        <v>-762</v>
      </c>
      <c r="E54" s="52">
        <v>21</v>
      </c>
      <c r="F54" s="52">
        <v>-835</v>
      </c>
      <c r="G54" s="52">
        <v>0</v>
      </c>
      <c r="H54" s="52">
        <f t="shared" si="27"/>
        <v>-1576</v>
      </c>
      <c r="I54" s="52">
        <v>0</v>
      </c>
      <c r="J54" s="52">
        <f t="shared" si="28"/>
        <v>-1576</v>
      </c>
      <c r="L54" s="235" t="s">
        <v>207</v>
      </c>
      <c r="M54" s="236"/>
      <c r="N54" s="52">
        <f t="shared" ref="N54:Q56" si="33">D54-D24</f>
        <v>-334</v>
      </c>
      <c r="O54" s="52">
        <f t="shared" si="33"/>
        <v>113</v>
      </c>
      <c r="P54" s="52">
        <f t="shared" si="33"/>
        <v>-354</v>
      </c>
      <c r="Q54" s="52">
        <f t="shared" si="33"/>
        <v>0</v>
      </c>
      <c r="R54" s="52">
        <f t="shared" si="31"/>
        <v>-575</v>
      </c>
      <c r="S54" s="52">
        <f>I54-I24</f>
        <v>0</v>
      </c>
      <c r="T54" s="52">
        <f t="shared" si="30"/>
        <v>-575</v>
      </c>
    </row>
    <row r="55" spans="2:20" s="47" customFormat="1" ht="11.1" customHeight="1" x14ac:dyDescent="0.2">
      <c r="B55" s="237" t="s">
        <v>208</v>
      </c>
      <c r="C55" s="236"/>
      <c r="D55" s="52">
        <v>0</v>
      </c>
      <c r="E55" s="52">
        <v>13</v>
      </c>
      <c r="F55" s="52">
        <v>440</v>
      </c>
      <c r="G55" s="52">
        <v>0</v>
      </c>
      <c r="H55" s="52">
        <f t="shared" si="27"/>
        <v>453</v>
      </c>
      <c r="I55" s="52">
        <v>0</v>
      </c>
      <c r="J55" s="52">
        <f t="shared" si="28"/>
        <v>453</v>
      </c>
      <c r="L55" s="237" t="s">
        <v>208</v>
      </c>
      <c r="M55" s="236"/>
      <c r="N55" s="52">
        <f t="shared" si="33"/>
        <v>0</v>
      </c>
      <c r="O55" s="52">
        <f t="shared" si="33"/>
        <v>13</v>
      </c>
      <c r="P55" s="52">
        <f t="shared" si="33"/>
        <v>283</v>
      </c>
      <c r="Q55" s="52">
        <f t="shared" si="33"/>
        <v>0</v>
      </c>
      <c r="R55" s="52">
        <f t="shared" si="31"/>
        <v>296</v>
      </c>
      <c r="S55" s="52">
        <f>I55-I25</f>
        <v>0</v>
      </c>
      <c r="T55" s="52">
        <f t="shared" si="30"/>
        <v>296</v>
      </c>
    </row>
    <row r="56" spans="2:20" s="47" customFormat="1" ht="11.1" customHeight="1" x14ac:dyDescent="0.2">
      <c r="B56" s="237" t="s">
        <v>27</v>
      </c>
      <c r="C56" s="236"/>
      <c r="D56" s="52">
        <v>0</v>
      </c>
      <c r="E56" s="52">
        <v>0</v>
      </c>
      <c r="F56" s="52">
        <v>0</v>
      </c>
      <c r="G56" s="52">
        <v>0</v>
      </c>
      <c r="H56" s="52">
        <f t="shared" si="27"/>
        <v>0</v>
      </c>
      <c r="I56" s="52">
        <v>0</v>
      </c>
      <c r="J56" s="52">
        <f t="shared" si="28"/>
        <v>0</v>
      </c>
      <c r="L56" s="237" t="s">
        <v>27</v>
      </c>
      <c r="M56" s="236"/>
      <c r="N56" s="52">
        <f t="shared" si="33"/>
        <v>0</v>
      </c>
      <c r="O56" s="52">
        <f t="shared" si="33"/>
        <v>0</v>
      </c>
      <c r="P56" s="52">
        <f t="shared" si="33"/>
        <v>0</v>
      </c>
      <c r="Q56" s="52">
        <f t="shared" si="33"/>
        <v>0</v>
      </c>
      <c r="R56" s="52">
        <f t="shared" si="31"/>
        <v>0</v>
      </c>
      <c r="S56" s="52">
        <f>I56-I26</f>
        <v>0</v>
      </c>
      <c r="T56" s="52">
        <f t="shared" si="30"/>
        <v>0</v>
      </c>
    </row>
    <row r="57" spans="2:20" s="47" customFormat="1" ht="11.1" customHeight="1" x14ac:dyDescent="0.2">
      <c r="B57" s="232" t="s">
        <v>209</v>
      </c>
      <c r="C57" s="232"/>
      <c r="D57" s="49">
        <f>D53+D54+D55+D56</f>
        <v>14844</v>
      </c>
      <c r="E57" s="49">
        <f>E53+E54+E55+E56</f>
        <v>10024</v>
      </c>
      <c r="F57" s="49">
        <f>F53+F54+F55+F56</f>
        <v>21278</v>
      </c>
      <c r="G57" s="49">
        <f>G53+G54+G55+G56</f>
        <v>-1468.44</v>
      </c>
      <c r="H57" s="49">
        <f t="shared" si="27"/>
        <v>44677.56</v>
      </c>
      <c r="I57" s="49">
        <f>I53+I54+I56</f>
        <v>838</v>
      </c>
      <c r="J57" s="49">
        <f t="shared" si="28"/>
        <v>45515.56</v>
      </c>
      <c r="L57" s="232" t="s">
        <v>209</v>
      </c>
      <c r="M57" s="232"/>
      <c r="N57" s="49">
        <f t="shared" ref="N57:Q57" si="34">N53+N54+N55+N56</f>
        <v>10900</v>
      </c>
      <c r="O57" s="49">
        <f t="shared" si="34"/>
        <v>4271</v>
      </c>
      <c r="P57" s="49">
        <f t="shared" si="34"/>
        <v>10732</v>
      </c>
      <c r="Q57" s="49">
        <f t="shared" si="34"/>
        <v>-692.44</v>
      </c>
      <c r="R57" s="49">
        <f t="shared" si="31"/>
        <v>25210.560000000001</v>
      </c>
      <c r="S57" s="49">
        <f>S53+S54+S56</f>
        <v>156</v>
      </c>
      <c r="T57" s="49">
        <f t="shared" si="30"/>
        <v>25366.560000000001</v>
      </c>
    </row>
    <row r="58" spans="2:20" s="47" customFormat="1" ht="11.1" customHeight="1" x14ac:dyDescent="0.2">
      <c r="B58" s="77" t="s">
        <v>22</v>
      </c>
      <c r="C58" s="78"/>
      <c r="D58" s="49">
        <v>10434</v>
      </c>
      <c r="E58" s="49">
        <v>6063</v>
      </c>
      <c r="F58" s="49">
        <v>3879</v>
      </c>
      <c r="G58" s="49">
        <v>0</v>
      </c>
      <c r="H58" s="49">
        <f t="shared" si="27"/>
        <v>20376</v>
      </c>
      <c r="I58" s="49">
        <v>0</v>
      </c>
      <c r="J58" s="49">
        <f t="shared" si="28"/>
        <v>20376</v>
      </c>
      <c r="L58" s="77" t="s">
        <v>22</v>
      </c>
      <c r="M58" s="78"/>
      <c r="N58" s="49">
        <f>D58-D28</f>
        <v>5162</v>
      </c>
      <c r="O58" s="49">
        <f>E58-E28</f>
        <v>3140</v>
      </c>
      <c r="P58" s="49">
        <f>F58-F28</f>
        <v>2037</v>
      </c>
      <c r="Q58" s="49">
        <f>G58-G28</f>
        <v>0</v>
      </c>
      <c r="R58" s="49">
        <f t="shared" si="31"/>
        <v>10339</v>
      </c>
      <c r="S58" s="49">
        <f>I58-I28</f>
        <v>0</v>
      </c>
      <c r="T58" s="49">
        <f t="shared" si="30"/>
        <v>10339</v>
      </c>
    </row>
    <row r="59" spans="2:20" s="47" customFormat="1" ht="11.1" customHeight="1" x14ac:dyDescent="0.2">
      <c r="B59" s="233" t="s">
        <v>23</v>
      </c>
      <c r="C59" s="234"/>
      <c r="D59" s="49">
        <f>D57+D58</f>
        <v>25278</v>
      </c>
      <c r="E59" s="49">
        <f t="shared" ref="E59:G59" si="35">E57+E58</f>
        <v>16087</v>
      </c>
      <c r="F59" s="49">
        <f t="shared" si="35"/>
        <v>25157</v>
      </c>
      <c r="G59" s="49">
        <f t="shared" si="35"/>
        <v>-1468.44</v>
      </c>
      <c r="H59" s="49">
        <f t="shared" si="27"/>
        <v>65053.56</v>
      </c>
      <c r="I59" s="49">
        <f t="shared" ref="I59" si="36">I57+I58</f>
        <v>838</v>
      </c>
      <c r="J59" s="49">
        <f t="shared" si="28"/>
        <v>65891.56</v>
      </c>
      <c r="L59" s="233" t="s">
        <v>23</v>
      </c>
      <c r="M59" s="234"/>
      <c r="N59" s="49">
        <f>N57+N58</f>
        <v>16062</v>
      </c>
      <c r="O59" s="49">
        <f t="shared" ref="O59:Q59" si="37">O57+O58</f>
        <v>7411</v>
      </c>
      <c r="P59" s="49">
        <f t="shared" si="37"/>
        <v>12769</v>
      </c>
      <c r="Q59" s="49">
        <f t="shared" si="37"/>
        <v>-692.44</v>
      </c>
      <c r="R59" s="49">
        <f t="shared" si="31"/>
        <v>35549.56</v>
      </c>
      <c r="S59" s="49">
        <f>S57+S58</f>
        <v>156</v>
      </c>
      <c r="T59" s="49">
        <f t="shared" si="30"/>
        <v>35705.56</v>
      </c>
    </row>
    <row r="60" spans="2:20" s="47" customFormat="1" ht="11.1" customHeight="1" x14ac:dyDescent="0.2">
      <c r="B60" s="83"/>
      <c r="C60" s="83"/>
      <c r="D60" s="84"/>
      <c r="E60" s="84"/>
      <c r="F60" s="84"/>
      <c r="G60" s="84"/>
      <c r="H60" s="84"/>
      <c r="I60" s="84"/>
      <c r="J60" s="85"/>
      <c r="L60" s="83"/>
      <c r="M60" s="83"/>
      <c r="N60" s="84"/>
      <c r="O60" s="84"/>
      <c r="P60" s="84"/>
      <c r="Q60" s="84"/>
      <c r="R60" s="84"/>
      <c r="S60" s="84"/>
      <c r="T60" s="85"/>
    </row>
    <row r="61" spans="2:20" ht="11.1" customHeight="1" x14ac:dyDescent="0.2">
      <c r="B61" s="48" t="s">
        <v>195</v>
      </c>
      <c r="C61" s="72"/>
      <c r="D61" s="48"/>
      <c r="E61" s="48"/>
      <c r="F61" s="48"/>
      <c r="G61" s="48"/>
      <c r="H61" s="48"/>
      <c r="I61" s="48"/>
      <c r="J61" s="81"/>
      <c r="L61" s="48" t="s">
        <v>195</v>
      </c>
      <c r="M61" s="72"/>
      <c r="N61" s="48"/>
      <c r="O61" s="48"/>
      <c r="P61" s="48"/>
      <c r="Q61" s="48"/>
      <c r="R61" s="48"/>
      <c r="S61" s="48"/>
      <c r="T61" s="81"/>
    </row>
    <row r="62" spans="2:20" ht="11.1" customHeight="1" x14ac:dyDescent="0.2">
      <c r="B62" s="244" t="s">
        <v>59</v>
      </c>
      <c r="C62" s="245"/>
      <c r="D62" s="241" t="s">
        <v>196</v>
      </c>
      <c r="E62" s="241" t="s">
        <v>197</v>
      </c>
      <c r="F62" s="241" t="s">
        <v>198</v>
      </c>
      <c r="G62" s="241" t="s">
        <v>199</v>
      </c>
      <c r="H62" s="241" t="s">
        <v>200</v>
      </c>
      <c r="I62" s="241" t="s">
        <v>201</v>
      </c>
      <c r="J62" s="241" t="s">
        <v>202</v>
      </c>
      <c r="L62" s="244" t="s">
        <v>59</v>
      </c>
      <c r="M62" s="245"/>
      <c r="N62" s="241" t="s">
        <v>196</v>
      </c>
      <c r="O62" s="241" t="s">
        <v>197</v>
      </c>
      <c r="P62" s="241" t="s">
        <v>198</v>
      </c>
      <c r="Q62" s="241" t="s">
        <v>199</v>
      </c>
      <c r="R62" s="241" t="s">
        <v>200</v>
      </c>
      <c r="S62" s="241" t="s">
        <v>201</v>
      </c>
      <c r="T62" s="241" t="s">
        <v>202</v>
      </c>
    </row>
    <row r="63" spans="2:20" ht="11.1" customHeight="1" x14ac:dyDescent="0.2">
      <c r="B63" s="246"/>
      <c r="C63" s="247"/>
      <c r="D63" s="242"/>
      <c r="E63" s="242"/>
      <c r="F63" s="242"/>
      <c r="G63" s="242"/>
      <c r="H63" s="242"/>
      <c r="I63" s="242"/>
      <c r="J63" s="242"/>
      <c r="L63" s="246"/>
      <c r="M63" s="247"/>
      <c r="N63" s="242"/>
      <c r="O63" s="242"/>
      <c r="P63" s="242"/>
      <c r="Q63" s="242"/>
      <c r="R63" s="242"/>
      <c r="S63" s="242"/>
      <c r="T63" s="242"/>
    </row>
    <row r="64" spans="2:20" ht="11.1" customHeight="1" x14ac:dyDescent="0.2">
      <c r="B64" s="248" t="s">
        <v>215</v>
      </c>
      <c r="C64" s="249"/>
      <c r="D64" s="249"/>
      <c r="E64" s="249"/>
      <c r="F64" s="249"/>
      <c r="G64" s="249"/>
      <c r="H64" s="73"/>
      <c r="I64" s="73"/>
      <c r="J64" s="82"/>
      <c r="L64" s="248" t="s">
        <v>216</v>
      </c>
      <c r="M64" s="249"/>
      <c r="N64" s="249"/>
      <c r="O64" s="249"/>
      <c r="P64" s="249"/>
      <c r="Q64" s="249"/>
      <c r="R64" s="73"/>
      <c r="S64" s="73"/>
      <c r="T64" s="82"/>
    </row>
    <row r="65" spans="2:20" ht="11.1" customHeight="1" x14ac:dyDescent="0.2">
      <c r="B65" s="238" t="s">
        <v>204</v>
      </c>
      <c r="C65" s="238"/>
      <c r="D65" s="52">
        <v>279614</v>
      </c>
      <c r="E65" s="52">
        <v>174546</v>
      </c>
      <c r="F65" s="52">
        <v>189596</v>
      </c>
      <c r="G65" s="52"/>
      <c r="H65" s="52">
        <f t="shared" ref="H65:H76" si="38">SUM(D65:G65)</f>
        <v>643756</v>
      </c>
      <c r="I65" s="52"/>
      <c r="J65" s="52">
        <f>H65+I65</f>
        <v>643756</v>
      </c>
      <c r="L65" s="238" t="s">
        <v>204</v>
      </c>
      <c r="M65" s="238"/>
      <c r="N65" s="52">
        <f t="shared" ref="N65:Q66" si="39">D65-D35</f>
        <v>94503</v>
      </c>
      <c r="O65" s="52">
        <f t="shared" si="39"/>
        <v>63327</v>
      </c>
      <c r="P65" s="52">
        <f t="shared" si="39"/>
        <v>62665</v>
      </c>
      <c r="Q65" s="52">
        <f t="shared" si="39"/>
        <v>0</v>
      </c>
      <c r="R65" s="52">
        <f>SUM(N65:Q65)</f>
        <v>220495</v>
      </c>
      <c r="S65" s="52">
        <f>I65-I35</f>
        <v>0</v>
      </c>
      <c r="T65" s="52">
        <f t="shared" ref="T65:T76" si="40">R65+S65</f>
        <v>220495</v>
      </c>
    </row>
    <row r="66" spans="2:20" ht="11.1" customHeight="1" x14ac:dyDescent="0.2">
      <c r="B66" s="238" t="s">
        <v>33</v>
      </c>
      <c r="C66" s="238"/>
      <c r="D66" s="52">
        <v>202224</v>
      </c>
      <c r="E66" s="52">
        <v>134638</v>
      </c>
      <c r="F66" s="52">
        <v>120481</v>
      </c>
      <c r="G66" s="52"/>
      <c r="H66" s="52">
        <f t="shared" si="38"/>
        <v>457343</v>
      </c>
      <c r="I66" s="52"/>
      <c r="J66" s="52">
        <f t="shared" ref="J66:J76" si="41">H66+I66</f>
        <v>457343</v>
      </c>
      <c r="L66" s="238" t="s">
        <v>33</v>
      </c>
      <c r="M66" s="238"/>
      <c r="N66" s="52">
        <f t="shared" si="39"/>
        <v>68276</v>
      </c>
      <c r="O66" s="52">
        <f t="shared" si="39"/>
        <v>49420</v>
      </c>
      <c r="P66" s="52">
        <f t="shared" si="39"/>
        <v>42677</v>
      </c>
      <c r="Q66" s="52">
        <f t="shared" si="39"/>
        <v>0</v>
      </c>
      <c r="R66" s="52">
        <f t="shared" ref="R66:R76" si="42">SUM(N66:Q66)</f>
        <v>160373</v>
      </c>
      <c r="S66" s="52">
        <f>I66-I36</f>
        <v>0</v>
      </c>
      <c r="T66" s="52">
        <f t="shared" si="40"/>
        <v>160373</v>
      </c>
    </row>
    <row r="67" spans="2:20" ht="11.1" customHeight="1" x14ac:dyDescent="0.2">
      <c r="B67" s="232" t="s">
        <v>205</v>
      </c>
      <c r="C67" s="232"/>
      <c r="D67" s="49">
        <f>D65-D66</f>
        <v>77390</v>
      </c>
      <c r="E67" s="49">
        <f>E65-E66</f>
        <v>39908</v>
      </c>
      <c r="F67" s="49">
        <f>F65-F66</f>
        <v>69115</v>
      </c>
      <c r="G67" s="49">
        <f>G65-G66</f>
        <v>0</v>
      </c>
      <c r="H67" s="49">
        <f t="shared" si="38"/>
        <v>186413</v>
      </c>
      <c r="I67" s="49">
        <f>I65-I66</f>
        <v>0</v>
      </c>
      <c r="J67" s="49">
        <f t="shared" si="41"/>
        <v>186413</v>
      </c>
      <c r="L67" s="232" t="s">
        <v>205</v>
      </c>
      <c r="M67" s="232"/>
      <c r="N67" s="49">
        <f>N65-N66</f>
        <v>26227</v>
      </c>
      <c r="O67" s="49">
        <f>O65-O66</f>
        <v>13907</v>
      </c>
      <c r="P67" s="49">
        <f>P65-P66</f>
        <v>19988</v>
      </c>
      <c r="Q67" s="49">
        <f>Q65-Q66</f>
        <v>0</v>
      </c>
      <c r="R67" s="49">
        <f t="shared" si="42"/>
        <v>60122</v>
      </c>
      <c r="S67" s="49">
        <f>S65-S66</f>
        <v>0</v>
      </c>
      <c r="T67" s="49">
        <f t="shared" si="40"/>
        <v>60122</v>
      </c>
    </row>
    <row r="68" spans="2:20" ht="11.1" customHeight="1" x14ac:dyDescent="0.2">
      <c r="B68" s="235" t="s">
        <v>4</v>
      </c>
      <c r="C68" s="236"/>
      <c r="D68" s="52">
        <v>12372</v>
      </c>
      <c r="E68" s="52">
        <v>4438</v>
      </c>
      <c r="F68" s="52">
        <v>11621</v>
      </c>
      <c r="G68" s="52">
        <v>283</v>
      </c>
      <c r="H68" s="52">
        <f t="shared" si="38"/>
        <v>28714</v>
      </c>
      <c r="I68" s="52"/>
      <c r="J68" s="52">
        <f t="shared" si="41"/>
        <v>28714</v>
      </c>
      <c r="L68" s="235" t="s">
        <v>4</v>
      </c>
      <c r="M68" s="236"/>
      <c r="N68" s="52">
        <f t="shared" ref="N68:Q69" si="43">D68-D38</f>
        <v>4073</v>
      </c>
      <c r="O68" s="52">
        <f t="shared" si="43"/>
        <v>1601</v>
      </c>
      <c r="P68" s="52">
        <f t="shared" si="43"/>
        <v>3588</v>
      </c>
      <c r="Q68" s="52">
        <f t="shared" si="43"/>
        <v>92</v>
      </c>
      <c r="R68" s="52">
        <f t="shared" si="42"/>
        <v>9354</v>
      </c>
      <c r="S68" s="52">
        <f>I68-I38</f>
        <v>0</v>
      </c>
      <c r="T68" s="52">
        <f t="shared" si="40"/>
        <v>9354</v>
      </c>
    </row>
    <row r="69" spans="2:20" ht="11.1" customHeight="1" x14ac:dyDescent="0.2">
      <c r="B69" s="235" t="s">
        <v>5</v>
      </c>
      <c r="C69" s="236"/>
      <c r="D69" s="52">
        <v>42964</v>
      </c>
      <c r="E69" s="52">
        <v>18608</v>
      </c>
      <c r="F69" s="52">
        <v>29662</v>
      </c>
      <c r="G69" s="52">
        <v>2163</v>
      </c>
      <c r="H69" s="52">
        <f t="shared" si="38"/>
        <v>93397</v>
      </c>
      <c r="I69" s="52"/>
      <c r="J69" s="52">
        <f t="shared" si="41"/>
        <v>93397</v>
      </c>
      <c r="L69" s="235" t="s">
        <v>5</v>
      </c>
      <c r="M69" s="236"/>
      <c r="N69" s="52">
        <f t="shared" si="43"/>
        <v>13183</v>
      </c>
      <c r="O69" s="52">
        <f t="shared" si="43"/>
        <v>6331</v>
      </c>
      <c r="P69" s="52">
        <f t="shared" si="43"/>
        <v>9409</v>
      </c>
      <c r="Q69" s="52">
        <f t="shared" si="43"/>
        <v>620</v>
      </c>
      <c r="R69" s="52">
        <f t="shared" si="42"/>
        <v>29543</v>
      </c>
      <c r="S69" s="52">
        <f>I69-I39</f>
        <v>0</v>
      </c>
      <c r="T69" s="52">
        <f t="shared" si="40"/>
        <v>29543</v>
      </c>
    </row>
    <row r="70" spans="2:20" ht="11.1" customHeight="1" x14ac:dyDescent="0.2">
      <c r="B70" s="232" t="s">
        <v>206</v>
      </c>
      <c r="C70" s="232"/>
      <c r="D70" s="49">
        <f>D67-D68-D69</f>
        <v>22054</v>
      </c>
      <c r="E70" s="49">
        <f>E67-E68-E69</f>
        <v>16862</v>
      </c>
      <c r="F70" s="49">
        <f>F67-F68-F69</f>
        <v>27832</v>
      </c>
      <c r="G70" s="49">
        <f>G67-G68-G69</f>
        <v>-2446</v>
      </c>
      <c r="H70" s="49">
        <f t="shared" si="38"/>
        <v>64302</v>
      </c>
      <c r="I70" s="49">
        <f>I67-I68-I69</f>
        <v>0</v>
      </c>
      <c r="J70" s="49">
        <f t="shared" si="41"/>
        <v>64302</v>
      </c>
      <c r="L70" s="232" t="s">
        <v>206</v>
      </c>
      <c r="M70" s="232"/>
      <c r="N70" s="49">
        <f>N67-N68-N69</f>
        <v>8971</v>
      </c>
      <c r="O70" s="49">
        <f>O67-O68-O69</f>
        <v>5975</v>
      </c>
      <c r="P70" s="49">
        <f>P67-P68-P69</f>
        <v>6991</v>
      </c>
      <c r="Q70" s="49">
        <f>Q67-Q68-Q69</f>
        <v>-712</v>
      </c>
      <c r="R70" s="49">
        <f t="shared" si="42"/>
        <v>21225</v>
      </c>
      <c r="S70" s="49">
        <f>S67-S68-S69</f>
        <v>0</v>
      </c>
      <c r="T70" s="49">
        <f t="shared" si="40"/>
        <v>21225</v>
      </c>
    </row>
    <row r="71" spans="2:20" ht="11.1" customHeight="1" x14ac:dyDescent="0.2">
      <c r="B71" s="235" t="s">
        <v>207</v>
      </c>
      <c r="C71" s="236"/>
      <c r="D71" s="52">
        <v>-4622</v>
      </c>
      <c r="E71" s="52">
        <v>1797</v>
      </c>
      <c r="F71" s="52">
        <v>-2042</v>
      </c>
      <c r="G71" s="52"/>
      <c r="H71" s="52">
        <f t="shared" si="38"/>
        <v>-4867</v>
      </c>
      <c r="I71" s="52">
        <v>0</v>
      </c>
      <c r="J71" s="52">
        <f t="shared" si="41"/>
        <v>-4867</v>
      </c>
      <c r="L71" s="235" t="s">
        <v>207</v>
      </c>
      <c r="M71" s="236"/>
      <c r="N71" s="52">
        <f t="shared" ref="N71:Q73" si="44">D71-D41</f>
        <v>-3963</v>
      </c>
      <c r="O71" s="52">
        <f t="shared" si="44"/>
        <v>1833</v>
      </c>
      <c r="P71" s="52">
        <f t="shared" si="44"/>
        <v>-655</v>
      </c>
      <c r="Q71" s="52">
        <f t="shared" si="44"/>
        <v>0</v>
      </c>
      <c r="R71" s="52">
        <f t="shared" si="42"/>
        <v>-2785</v>
      </c>
      <c r="S71" s="52">
        <f>I71-I41</f>
        <v>0</v>
      </c>
      <c r="T71" s="52">
        <f t="shared" si="40"/>
        <v>-2785</v>
      </c>
    </row>
    <row r="72" spans="2:20" ht="11.1" customHeight="1" x14ac:dyDescent="0.2">
      <c r="B72" s="237" t="s">
        <v>208</v>
      </c>
      <c r="C72" s="236"/>
      <c r="D72" s="52">
        <v>0</v>
      </c>
      <c r="E72" s="52">
        <v>0</v>
      </c>
      <c r="F72" s="52">
        <v>1166</v>
      </c>
      <c r="G72" s="52"/>
      <c r="H72" s="52">
        <f t="shared" si="38"/>
        <v>1166</v>
      </c>
      <c r="I72" s="52"/>
      <c r="J72" s="52">
        <f t="shared" si="41"/>
        <v>1166</v>
      </c>
      <c r="L72" s="237" t="s">
        <v>208</v>
      </c>
      <c r="M72" s="236"/>
      <c r="N72" s="52">
        <f t="shared" si="44"/>
        <v>0</v>
      </c>
      <c r="O72" s="52">
        <f t="shared" si="44"/>
        <v>0</v>
      </c>
      <c r="P72" s="52">
        <f t="shared" si="44"/>
        <v>603</v>
      </c>
      <c r="Q72" s="52">
        <f t="shared" si="44"/>
        <v>0</v>
      </c>
      <c r="R72" s="52">
        <f t="shared" si="42"/>
        <v>603</v>
      </c>
      <c r="S72" s="52">
        <f>I72-I42</f>
        <v>0</v>
      </c>
      <c r="T72" s="52">
        <f t="shared" si="40"/>
        <v>603</v>
      </c>
    </row>
    <row r="73" spans="2:20" ht="11.1" customHeight="1" x14ac:dyDescent="0.2">
      <c r="B73" s="237" t="s">
        <v>27</v>
      </c>
      <c r="C73" s="236"/>
      <c r="D73" s="52"/>
      <c r="E73" s="52"/>
      <c r="F73" s="52"/>
      <c r="G73" s="52"/>
      <c r="H73" s="52">
        <f t="shared" si="38"/>
        <v>0</v>
      </c>
      <c r="I73" s="52">
        <v>0</v>
      </c>
      <c r="J73" s="52">
        <f t="shared" si="41"/>
        <v>0</v>
      </c>
      <c r="L73" s="237" t="s">
        <v>27</v>
      </c>
      <c r="M73" s="236"/>
      <c r="N73" s="52">
        <f t="shared" si="44"/>
        <v>0</v>
      </c>
      <c r="O73" s="52">
        <f t="shared" si="44"/>
        <v>0</v>
      </c>
      <c r="P73" s="52">
        <f t="shared" si="44"/>
        <v>0</v>
      </c>
      <c r="Q73" s="52">
        <f t="shared" si="44"/>
        <v>0</v>
      </c>
      <c r="R73" s="52">
        <f t="shared" si="42"/>
        <v>0</v>
      </c>
      <c r="S73" s="52">
        <f>I73-I43</f>
        <v>0</v>
      </c>
      <c r="T73" s="52">
        <f t="shared" si="40"/>
        <v>0</v>
      </c>
    </row>
    <row r="74" spans="2:20" ht="11.1" customHeight="1" x14ac:dyDescent="0.2">
      <c r="B74" s="232" t="s">
        <v>209</v>
      </c>
      <c r="C74" s="232"/>
      <c r="D74" s="49">
        <f t="shared" ref="D74:G74" si="45">D70+D71+D72+D73</f>
        <v>17432</v>
      </c>
      <c r="E74" s="49">
        <f t="shared" si="45"/>
        <v>18659</v>
      </c>
      <c r="F74" s="49">
        <f t="shared" si="45"/>
        <v>26956</v>
      </c>
      <c r="G74" s="49">
        <f t="shared" si="45"/>
        <v>-2446</v>
      </c>
      <c r="H74" s="49">
        <f t="shared" si="38"/>
        <v>60601</v>
      </c>
      <c r="I74" s="49">
        <f>I70+I71+I73</f>
        <v>0</v>
      </c>
      <c r="J74" s="49">
        <f>H74+I74</f>
        <v>60601</v>
      </c>
      <c r="L74" s="232" t="s">
        <v>209</v>
      </c>
      <c r="M74" s="232"/>
      <c r="N74" s="49">
        <f t="shared" ref="N74:Q74" si="46">N70+N71+N72+N73</f>
        <v>5008</v>
      </c>
      <c r="O74" s="49">
        <f t="shared" si="46"/>
        <v>7808</v>
      </c>
      <c r="P74" s="49">
        <f t="shared" si="46"/>
        <v>6939</v>
      </c>
      <c r="Q74" s="49">
        <f t="shared" si="46"/>
        <v>-712</v>
      </c>
      <c r="R74" s="49">
        <f t="shared" si="42"/>
        <v>19043</v>
      </c>
      <c r="S74" s="49">
        <f>S70+S71+S73</f>
        <v>0</v>
      </c>
      <c r="T74" s="49">
        <f t="shared" si="40"/>
        <v>19043</v>
      </c>
    </row>
    <row r="75" spans="2:20" ht="11.1" customHeight="1" x14ac:dyDescent="0.2">
      <c r="B75" s="77" t="s">
        <v>22</v>
      </c>
      <c r="C75" s="78"/>
      <c r="D75" s="49">
        <v>18524</v>
      </c>
      <c r="E75" s="49">
        <v>11697</v>
      </c>
      <c r="F75" s="49">
        <v>6811</v>
      </c>
      <c r="G75" s="49">
        <v>0</v>
      </c>
      <c r="H75" s="49">
        <f t="shared" si="38"/>
        <v>37032</v>
      </c>
      <c r="I75" s="49">
        <v>0</v>
      </c>
      <c r="J75" s="49">
        <f t="shared" si="41"/>
        <v>37032</v>
      </c>
      <c r="L75" s="77" t="s">
        <v>22</v>
      </c>
      <c r="M75" s="78"/>
      <c r="N75" s="49">
        <f>D75-D45</f>
        <v>6257</v>
      </c>
      <c r="O75" s="49">
        <f>E75-E45</f>
        <v>3806</v>
      </c>
      <c r="P75" s="49">
        <f>F75-F45</f>
        <v>2298</v>
      </c>
      <c r="Q75" s="49">
        <f>G75-G45</f>
        <v>0</v>
      </c>
      <c r="R75" s="49">
        <f t="shared" si="42"/>
        <v>12361</v>
      </c>
      <c r="S75" s="49">
        <f>I75-I45</f>
        <v>0</v>
      </c>
      <c r="T75" s="49">
        <f t="shared" si="40"/>
        <v>12361</v>
      </c>
    </row>
    <row r="76" spans="2:20" ht="11.1" customHeight="1" x14ac:dyDescent="0.2">
      <c r="B76" s="233" t="s">
        <v>23</v>
      </c>
      <c r="C76" s="234"/>
      <c r="D76" s="49">
        <f>D74+D75</f>
        <v>35956</v>
      </c>
      <c r="E76" s="49">
        <f t="shared" ref="E76:G76" si="47">E74+E75</f>
        <v>30356</v>
      </c>
      <c r="F76" s="49">
        <f t="shared" si="47"/>
        <v>33767</v>
      </c>
      <c r="G76" s="49">
        <f t="shared" si="47"/>
        <v>-2446</v>
      </c>
      <c r="H76" s="49">
        <f t="shared" si="38"/>
        <v>97633</v>
      </c>
      <c r="I76" s="49">
        <f>I74+I75</f>
        <v>0</v>
      </c>
      <c r="J76" s="49">
        <f t="shared" si="41"/>
        <v>97633</v>
      </c>
      <c r="L76" s="233" t="s">
        <v>23</v>
      </c>
      <c r="M76" s="234"/>
      <c r="N76" s="49">
        <f>N74+N75</f>
        <v>11265</v>
      </c>
      <c r="O76" s="49">
        <f t="shared" ref="O76:Q76" si="48">O74+O75</f>
        <v>11614</v>
      </c>
      <c r="P76" s="49">
        <f t="shared" si="48"/>
        <v>9237</v>
      </c>
      <c r="Q76" s="49">
        <f t="shared" si="48"/>
        <v>-712</v>
      </c>
      <c r="R76" s="49">
        <f t="shared" si="42"/>
        <v>31404</v>
      </c>
      <c r="S76" s="49">
        <f>S74+S75</f>
        <v>0</v>
      </c>
      <c r="T76" s="49">
        <f t="shared" si="40"/>
        <v>31404</v>
      </c>
    </row>
    <row r="77" spans="2:20" ht="11.1" customHeight="1" x14ac:dyDescent="0.2">
      <c r="B77" s="239" t="s">
        <v>217</v>
      </c>
      <c r="C77" s="240"/>
      <c r="D77" s="240"/>
      <c r="E77" s="240"/>
      <c r="F77" s="240"/>
      <c r="G77" s="240"/>
      <c r="H77" s="73"/>
      <c r="I77" s="73"/>
      <c r="J77" s="82"/>
      <c r="L77" s="239" t="s">
        <v>218</v>
      </c>
      <c r="M77" s="240"/>
      <c r="N77" s="240"/>
      <c r="O77" s="240"/>
      <c r="P77" s="240"/>
      <c r="Q77" s="240"/>
      <c r="R77" s="73"/>
      <c r="S77" s="73"/>
      <c r="T77" s="82"/>
    </row>
    <row r="78" spans="2:20" ht="11.1" customHeight="1" x14ac:dyDescent="0.2">
      <c r="B78" s="238" t="s">
        <v>204</v>
      </c>
      <c r="C78" s="238"/>
      <c r="D78" s="52">
        <v>270615</v>
      </c>
      <c r="E78" s="52">
        <v>134927</v>
      </c>
      <c r="F78" s="52">
        <v>181171</v>
      </c>
      <c r="G78" s="52"/>
      <c r="H78" s="52">
        <f t="shared" ref="H78:H89" si="49">SUM(D78:G78)</f>
        <v>586713</v>
      </c>
      <c r="I78" s="52">
        <v>13967</v>
      </c>
      <c r="J78" s="52">
        <f>H78+I78</f>
        <v>600680</v>
      </c>
      <c r="L78" s="238" t="s">
        <v>204</v>
      </c>
      <c r="M78" s="238"/>
      <c r="N78" s="52">
        <f t="shared" ref="N78:Q79" si="50">D78-D48</f>
        <v>96016</v>
      </c>
      <c r="O78" s="52">
        <f t="shared" si="50"/>
        <v>40758</v>
      </c>
      <c r="P78" s="52">
        <f t="shared" si="50"/>
        <v>65403</v>
      </c>
      <c r="Q78" s="52">
        <f t="shared" si="50"/>
        <v>0</v>
      </c>
      <c r="R78" s="52">
        <f>SUM(N78:Q78)</f>
        <v>202177</v>
      </c>
      <c r="S78" s="52">
        <f>I78-I48</f>
        <v>2427</v>
      </c>
      <c r="T78" s="52">
        <f t="shared" ref="T78:T89" si="51">R78+S78</f>
        <v>204604</v>
      </c>
    </row>
    <row r="79" spans="2:20" ht="11.1" customHeight="1" x14ac:dyDescent="0.2">
      <c r="B79" s="238" t="s">
        <v>33</v>
      </c>
      <c r="C79" s="238"/>
      <c r="D79" s="52">
        <v>189787</v>
      </c>
      <c r="E79" s="52">
        <v>102925</v>
      </c>
      <c r="F79" s="52">
        <v>107647</v>
      </c>
      <c r="G79" s="52"/>
      <c r="H79" s="52">
        <f t="shared" si="49"/>
        <v>400359</v>
      </c>
      <c r="I79" s="52">
        <v>12525</v>
      </c>
      <c r="J79" s="52">
        <f t="shared" ref="J79:J89" si="52">H79+I79</f>
        <v>412884</v>
      </c>
      <c r="L79" s="238" t="s">
        <v>33</v>
      </c>
      <c r="M79" s="238"/>
      <c r="N79" s="52">
        <f t="shared" si="50"/>
        <v>68349</v>
      </c>
      <c r="O79" s="52">
        <f t="shared" si="50"/>
        <v>32788</v>
      </c>
      <c r="P79" s="52">
        <f t="shared" si="50"/>
        <v>38024</v>
      </c>
      <c r="Q79" s="52">
        <f t="shared" si="50"/>
        <v>0</v>
      </c>
      <c r="R79" s="52">
        <f t="shared" ref="R79:R89" si="53">SUM(N79:Q79)</f>
        <v>139161</v>
      </c>
      <c r="S79" s="52">
        <f>I79-I49</f>
        <v>2143</v>
      </c>
      <c r="T79" s="52">
        <f t="shared" si="51"/>
        <v>141304</v>
      </c>
    </row>
    <row r="80" spans="2:20" ht="11.1" customHeight="1" x14ac:dyDescent="0.2">
      <c r="B80" s="232" t="s">
        <v>205</v>
      </c>
      <c r="C80" s="232"/>
      <c r="D80" s="49">
        <f>D78-D79</f>
        <v>80828</v>
      </c>
      <c r="E80" s="49">
        <f>E78-E79</f>
        <v>32002</v>
      </c>
      <c r="F80" s="49">
        <f>F78-F79</f>
        <v>73524</v>
      </c>
      <c r="G80" s="49">
        <f>G78-G79</f>
        <v>0</v>
      </c>
      <c r="H80" s="49">
        <f t="shared" si="49"/>
        <v>186354</v>
      </c>
      <c r="I80" s="49">
        <f>I78-I79</f>
        <v>1442</v>
      </c>
      <c r="J80" s="49">
        <f t="shared" si="52"/>
        <v>187796</v>
      </c>
      <c r="L80" s="232" t="s">
        <v>205</v>
      </c>
      <c r="M80" s="232"/>
      <c r="N80" s="49">
        <f>N78-N79</f>
        <v>27667</v>
      </c>
      <c r="O80" s="49">
        <f>O78-O79</f>
        <v>7970</v>
      </c>
      <c r="P80" s="49">
        <f>P78-P79</f>
        <v>27379</v>
      </c>
      <c r="Q80" s="49">
        <f>Q78-Q79</f>
        <v>0</v>
      </c>
      <c r="R80" s="49">
        <f t="shared" si="53"/>
        <v>63016</v>
      </c>
      <c r="S80" s="49">
        <f>S78-S79</f>
        <v>284</v>
      </c>
      <c r="T80" s="49">
        <f t="shared" si="51"/>
        <v>63300</v>
      </c>
    </row>
    <row r="81" spans="2:20" ht="11.1" customHeight="1" x14ac:dyDescent="0.2">
      <c r="B81" s="235" t="s">
        <v>4</v>
      </c>
      <c r="C81" s="236"/>
      <c r="D81" s="52">
        <v>12333</v>
      </c>
      <c r="E81" s="52">
        <v>4339</v>
      </c>
      <c r="F81" s="52">
        <v>11945</v>
      </c>
      <c r="G81" s="52">
        <v>180</v>
      </c>
      <c r="H81" s="52">
        <f t="shared" si="49"/>
        <v>28797</v>
      </c>
      <c r="I81" s="52">
        <v>168</v>
      </c>
      <c r="J81" s="52">
        <f t="shared" si="52"/>
        <v>28965</v>
      </c>
      <c r="L81" s="235" t="s">
        <v>4</v>
      </c>
      <c r="M81" s="236"/>
      <c r="N81" s="52">
        <f t="shared" ref="N81:Q82" si="54">D81-D51</f>
        <v>3991</v>
      </c>
      <c r="O81" s="52">
        <f t="shared" si="54"/>
        <v>1691</v>
      </c>
      <c r="P81" s="52">
        <f t="shared" si="54"/>
        <v>4418</v>
      </c>
      <c r="Q81" s="52">
        <f t="shared" si="54"/>
        <v>60</v>
      </c>
      <c r="R81" s="52">
        <f t="shared" si="53"/>
        <v>10160</v>
      </c>
      <c r="S81" s="52">
        <f>I81-I51</f>
        <v>58</v>
      </c>
      <c r="T81" s="52">
        <f t="shared" si="51"/>
        <v>10218</v>
      </c>
    </row>
    <row r="82" spans="2:20" ht="11.1" customHeight="1" x14ac:dyDescent="0.2">
      <c r="B82" s="235" t="s">
        <v>5</v>
      </c>
      <c r="C82" s="236"/>
      <c r="D82" s="52">
        <v>42515</v>
      </c>
      <c r="E82" s="52">
        <v>16812</v>
      </c>
      <c r="F82" s="52">
        <v>25942</v>
      </c>
      <c r="G82" s="52">
        <v>2537</v>
      </c>
      <c r="H82" s="52">
        <f t="shared" si="49"/>
        <v>87806</v>
      </c>
      <c r="I82" s="52"/>
      <c r="J82" s="52">
        <f t="shared" si="52"/>
        <v>87806</v>
      </c>
      <c r="L82" s="235" t="s">
        <v>5</v>
      </c>
      <c r="M82" s="236"/>
      <c r="N82" s="52">
        <f t="shared" si="54"/>
        <v>13302</v>
      </c>
      <c r="O82" s="52">
        <f t="shared" si="54"/>
        <v>5418</v>
      </c>
      <c r="P82" s="52">
        <f t="shared" si="54"/>
        <v>8997</v>
      </c>
      <c r="Q82" s="52">
        <f t="shared" si="54"/>
        <v>1188.56</v>
      </c>
      <c r="R82" s="52">
        <f t="shared" si="53"/>
        <v>28905.56</v>
      </c>
      <c r="S82" s="52">
        <f>I82-I52</f>
        <v>-210</v>
      </c>
      <c r="T82" s="52">
        <f t="shared" si="51"/>
        <v>28695.56</v>
      </c>
    </row>
    <row r="83" spans="2:20" ht="11.1" customHeight="1" x14ac:dyDescent="0.2">
      <c r="B83" s="232" t="s">
        <v>206</v>
      </c>
      <c r="C83" s="232"/>
      <c r="D83" s="49">
        <f>D80-D81-D82</f>
        <v>25980</v>
      </c>
      <c r="E83" s="49">
        <f>E80-E81-E82</f>
        <v>10851</v>
      </c>
      <c r="F83" s="49">
        <f>F80-F81-F82</f>
        <v>35637</v>
      </c>
      <c r="G83" s="49">
        <f>G80-G81-G82</f>
        <v>-2717</v>
      </c>
      <c r="H83" s="49">
        <f t="shared" si="49"/>
        <v>69751</v>
      </c>
      <c r="I83" s="49">
        <f>I80-I81-I82</f>
        <v>1274</v>
      </c>
      <c r="J83" s="49">
        <f t="shared" si="52"/>
        <v>71025</v>
      </c>
      <c r="L83" s="232" t="s">
        <v>206</v>
      </c>
      <c r="M83" s="232"/>
      <c r="N83" s="49">
        <f>N80-N81-N82</f>
        <v>10374</v>
      </c>
      <c r="O83" s="49">
        <f>O80-O81-O82</f>
        <v>861</v>
      </c>
      <c r="P83" s="49">
        <f>P80-P81-P82</f>
        <v>13964</v>
      </c>
      <c r="Q83" s="49">
        <f>Q80-Q81-Q82</f>
        <v>-1248.56</v>
      </c>
      <c r="R83" s="49">
        <f t="shared" si="53"/>
        <v>23950.44</v>
      </c>
      <c r="S83" s="49">
        <f>S80-S81-S82</f>
        <v>436</v>
      </c>
      <c r="T83" s="49">
        <f t="shared" si="51"/>
        <v>24386.44</v>
      </c>
    </row>
    <row r="84" spans="2:20" ht="11.1" customHeight="1" x14ac:dyDescent="0.2">
      <c r="B84" s="235" t="s">
        <v>207</v>
      </c>
      <c r="C84" s="236"/>
      <c r="D84" s="52">
        <v>-2804</v>
      </c>
      <c r="E84" s="52">
        <v>151</v>
      </c>
      <c r="F84" s="52">
        <v>-558</v>
      </c>
      <c r="G84" s="52">
        <v>846</v>
      </c>
      <c r="H84" s="52">
        <f t="shared" si="49"/>
        <v>-2365</v>
      </c>
      <c r="I84" s="52">
        <v>0</v>
      </c>
      <c r="J84" s="52">
        <f t="shared" si="52"/>
        <v>-2365</v>
      </c>
      <c r="L84" s="235" t="s">
        <v>207</v>
      </c>
      <c r="M84" s="236"/>
      <c r="N84" s="52">
        <f t="shared" ref="N84:Q86" si="55">D84-D54</f>
        <v>-2042</v>
      </c>
      <c r="O84" s="52">
        <f t="shared" si="55"/>
        <v>130</v>
      </c>
      <c r="P84" s="52">
        <f t="shared" si="55"/>
        <v>277</v>
      </c>
      <c r="Q84" s="52">
        <f t="shared" si="55"/>
        <v>846</v>
      </c>
      <c r="R84" s="52">
        <f t="shared" si="53"/>
        <v>-789</v>
      </c>
      <c r="S84" s="52">
        <f>I84-I54</f>
        <v>0</v>
      </c>
      <c r="T84" s="52">
        <f t="shared" si="51"/>
        <v>-789</v>
      </c>
    </row>
    <row r="85" spans="2:20" ht="11.1" customHeight="1" x14ac:dyDescent="0.2">
      <c r="B85" s="237" t="s">
        <v>208</v>
      </c>
      <c r="C85" s="236"/>
      <c r="D85" s="52">
        <v>0</v>
      </c>
      <c r="E85" s="52">
        <v>13</v>
      </c>
      <c r="F85" s="52">
        <v>921</v>
      </c>
      <c r="G85" s="52">
        <v>-1</v>
      </c>
      <c r="H85" s="52">
        <f t="shared" si="49"/>
        <v>933</v>
      </c>
      <c r="I85" s="52"/>
      <c r="J85" s="52">
        <f t="shared" si="52"/>
        <v>933</v>
      </c>
      <c r="L85" s="237" t="s">
        <v>208</v>
      </c>
      <c r="M85" s="236"/>
      <c r="N85" s="52">
        <f t="shared" si="55"/>
        <v>0</v>
      </c>
      <c r="O85" s="52">
        <f t="shared" si="55"/>
        <v>0</v>
      </c>
      <c r="P85" s="52">
        <f t="shared" si="55"/>
        <v>481</v>
      </c>
      <c r="Q85" s="52">
        <f t="shared" si="55"/>
        <v>-1</v>
      </c>
      <c r="R85" s="52">
        <f t="shared" si="53"/>
        <v>480</v>
      </c>
      <c r="S85" s="52">
        <f>I85-I55</f>
        <v>0</v>
      </c>
      <c r="T85" s="52">
        <f t="shared" si="51"/>
        <v>480</v>
      </c>
    </row>
    <row r="86" spans="2:20" ht="11.1" customHeight="1" x14ac:dyDescent="0.2">
      <c r="B86" s="237" t="s">
        <v>27</v>
      </c>
      <c r="C86" s="236"/>
      <c r="D86" s="52"/>
      <c r="E86" s="52"/>
      <c r="F86" s="52"/>
      <c r="G86" s="52"/>
      <c r="H86" s="52">
        <f t="shared" si="49"/>
        <v>0</v>
      </c>
      <c r="I86" s="52">
        <v>0</v>
      </c>
      <c r="J86" s="52">
        <f t="shared" si="52"/>
        <v>0</v>
      </c>
      <c r="L86" s="237" t="s">
        <v>27</v>
      </c>
      <c r="M86" s="236"/>
      <c r="N86" s="52">
        <f t="shared" si="55"/>
        <v>0</v>
      </c>
      <c r="O86" s="52">
        <f t="shared" si="55"/>
        <v>0</v>
      </c>
      <c r="P86" s="52">
        <f t="shared" si="55"/>
        <v>0</v>
      </c>
      <c r="Q86" s="52">
        <f t="shared" si="55"/>
        <v>0</v>
      </c>
      <c r="R86" s="52">
        <f t="shared" si="53"/>
        <v>0</v>
      </c>
      <c r="S86" s="52">
        <f>I86-I56</f>
        <v>0</v>
      </c>
      <c r="T86" s="52">
        <f t="shared" si="51"/>
        <v>0</v>
      </c>
    </row>
    <row r="87" spans="2:20" ht="11.1" customHeight="1" x14ac:dyDescent="0.2">
      <c r="B87" s="232" t="s">
        <v>209</v>
      </c>
      <c r="C87" s="232"/>
      <c r="D87" s="49">
        <f>D83+D84+D85+D86</f>
        <v>23176</v>
      </c>
      <c r="E87" s="49">
        <f>E83+E84+E85+E86</f>
        <v>11015</v>
      </c>
      <c r="F87" s="49">
        <f>F83+F84+F85+F86</f>
        <v>36000</v>
      </c>
      <c r="G87" s="49">
        <f>G83+G84+G85+G86</f>
        <v>-1872</v>
      </c>
      <c r="H87" s="49">
        <f t="shared" si="49"/>
        <v>68319</v>
      </c>
      <c r="I87" s="49">
        <f>I83+I84+I86</f>
        <v>1274</v>
      </c>
      <c r="J87" s="49">
        <f t="shared" si="52"/>
        <v>69593</v>
      </c>
      <c r="L87" s="232" t="s">
        <v>209</v>
      </c>
      <c r="M87" s="232"/>
      <c r="N87" s="49">
        <f t="shared" ref="N87:Q87" si="56">N83+N84+N85+N86</f>
        <v>8332</v>
      </c>
      <c r="O87" s="49">
        <f t="shared" si="56"/>
        <v>991</v>
      </c>
      <c r="P87" s="49">
        <f t="shared" si="56"/>
        <v>14722</v>
      </c>
      <c r="Q87" s="49">
        <f t="shared" si="56"/>
        <v>-403.55999999999995</v>
      </c>
      <c r="R87" s="49">
        <f t="shared" si="53"/>
        <v>23641.439999999999</v>
      </c>
      <c r="S87" s="49">
        <f>S83+S84+S86</f>
        <v>436</v>
      </c>
      <c r="T87" s="49">
        <f t="shared" si="51"/>
        <v>24077.439999999999</v>
      </c>
    </row>
    <row r="88" spans="2:20" ht="11.1" customHeight="1" x14ac:dyDescent="0.2">
      <c r="B88" s="77" t="s">
        <v>22</v>
      </c>
      <c r="C88" s="78"/>
      <c r="D88" s="49">
        <v>15741</v>
      </c>
      <c r="E88" s="49">
        <v>9189</v>
      </c>
      <c r="F88" s="49">
        <v>5805</v>
      </c>
      <c r="G88" s="49">
        <v>201</v>
      </c>
      <c r="H88" s="49">
        <f t="shared" si="49"/>
        <v>30936</v>
      </c>
      <c r="I88" s="49">
        <v>0</v>
      </c>
      <c r="J88" s="49">
        <f t="shared" si="52"/>
        <v>30936</v>
      </c>
      <c r="L88" s="77" t="s">
        <v>22</v>
      </c>
      <c r="M88" s="78"/>
      <c r="N88" s="49">
        <f>D88-D58</f>
        <v>5307</v>
      </c>
      <c r="O88" s="49">
        <f>E88-E58</f>
        <v>3126</v>
      </c>
      <c r="P88" s="49">
        <f>F88-F58</f>
        <v>1926</v>
      </c>
      <c r="Q88" s="49">
        <f>G88-G58</f>
        <v>201</v>
      </c>
      <c r="R88" s="49">
        <f t="shared" si="53"/>
        <v>10560</v>
      </c>
      <c r="S88" s="49">
        <f>I88-I58</f>
        <v>0</v>
      </c>
      <c r="T88" s="49">
        <f t="shared" si="51"/>
        <v>10560</v>
      </c>
    </row>
    <row r="89" spans="2:20" ht="11.1" customHeight="1" x14ac:dyDescent="0.2">
      <c r="B89" s="233" t="s">
        <v>23</v>
      </c>
      <c r="C89" s="234"/>
      <c r="D89" s="49">
        <f>D87+D88</f>
        <v>38917</v>
      </c>
      <c r="E89" s="49">
        <f t="shared" ref="E89:G89" si="57">E87+E88</f>
        <v>20204</v>
      </c>
      <c r="F89" s="49">
        <f t="shared" si="57"/>
        <v>41805</v>
      </c>
      <c r="G89" s="49">
        <f t="shared" si="57"/>
        <v>-1671</v>
      </c>
      <c r="H89" s="49">
        <f t="shared" si="49"/>
        <v>99255</v>
      </c>
      <c r="I89" s="49">
        <f t="shared" ref="I89" si="58">I87+I88</f>
        <v>1274</v>
      </c>
      <c r="J89" s="49">
        <f t="shared" si="52"/>
        <v>100529</v>
      </c>
      <c r="L89" s="233" t="s">
        <v>23</v>
      </c>
      <c r="M89" s="234"/>
      <c r="N89" s="49">
        <f>N87+N88</f>
        <v>13639</v>
      </c>
      <c r="O89" s="49">
        <f t="shared" ref="O89:Q89" si="59">O87+O88</f>
        <v>4117</v>
      </c>
      <c r="P89" s="49">
        <f t="shared" si="59"/>
        <v>16648</v>
      </c>
      <c r="Q89" s="49">
        <f t="shared" si="59"/>
        <v>-202.55999999999995</v>
      </c>
      <c r="R89" s="49">
        <f t="shared" si="53"/>
        <v>34201.440000000002</v>
      </c>
      <c r="S89" s="49">
        <f>S87+S88</f>
        <v>436</v>
      </c>
      <c r="T89" s="49">
        <f t="shared" si="51"/>
        <v>34637.440000000002</v>
      </c>
    </row>
    <row r="90" spans="2:20" ht="11.1" customHeight="1" x14ac:dyDescent="0.2">
      <c r="B90" s="48" t="s">
        <v>195</v>
      </c>
      <c r="C90" s="72"/>
      <c r="D90" s="48"/>
      <c r="E90" s="48"/>
      <c r="F90" s="48"/>
      <c r="G90" s="48"/>
      <c r="H90" s="48"/>
      <c r="I90" s="48"/>
      <c r="J90" s="81"/>
      <c r="L90" s="48" t="s">
        <v>195</v>
      </c>
      <c r="M90" s="72"/>
      <c r="N90" s="48"/>
      <c r="O90" s="48"/>
      <c r="P90" s="48"/>
      <c r="Q90" s="48"/>
      <c r="R90" s="48"/>
      <c r="S90" s="48"/>
      <c r="T90" s="81"/>
    </row>
    <row r="91" spans="2:20" ht="11.1" customHeight="1" x14ac:dyDescent="0.2">
      <c r="B91" s="48"/>
      <c r="C91" s="72"/>
      <c r="D91" s="48"/>
      <c r="E91" s="48"/>
      <c r="F91" s="48"/>
      <c r="G91" s="48"/>
      <c r="H91" s="48"/>
      <c r="I91" s="48"/>
      <c r="J91" s="81"/>
      <c r="L91" s="48"/>
      <c r="M91" s="72"/>
      <c r="N91" s="48"/>
      <c r="O91" s="48"/>
      <c r="P91" s="48"/>
      <c r="Q91" s="48"/>
      <c r="R91" s="48"/>
      <c r="S91" s="48"/>
      <c r="T91" s="81"/>
    </row>
    <row r="92" spans="2:20" ht="11.1" customHeight="1" x14ac:dyDescent="0.2">
      <c r="B92" s="244" t="s">
        <v>59</v>
      </c>
      <c r="C92" s="245"/>
      <c r="D92" s="241" t="s">
        <v>196</v>
      </c>
      <c r="E92" s="241" t="s">
        <v>197</v>
      </c>
      <c r="F92" s="241" t="s">
        <v>198</v>
      </c>
      <c r="G92" s="241" t="s">
        <v>199</v>
      </c>
      <c r="H92" s="241" t="s">
        <v>200</v>
      </c>
      <c r="I92" s="241" t="s">
        <v>201</v>
      </c>
      <c r="J92" s="241" t="s">
        <v>202</v>
      </c>
      <c r="L92" s="244" t="s">
        <v>59</v>
      </c>
      <c r="M92" s="245"/>
      <c r="N92" s="241" t="s">
        <v>196</v>
      </c>
      <c r="O92" s="241" t="s">
        <v>197</v>
      </c>
      <c r="P92" s="241" t="s">
        <v>198</v>
      </c>
      <c r="Q92" s="241" t="s">
        <v>199</v>
      </c>
      <c r="R92" s="241" t="s">
        <v>200</v>
      </c>
      <c r="S92" s="241" t="s">
        <v>201</v>
      </c>
      <c r="T92" s="241" t="s">
        <v>202</v>
      </c>
    </row>
    <row r="93" spans="2:20" ht="11.1" customHeight="1" x14ac:dyDescent="0.2">
      <c r="B93" s="246"/>
      <c r="C93" s="247"/>
      <c r="D93" s="242"/>
      <c r="E93" s="242"/>
      <c r="F93" s="242"/>
      <c r="G93" s="242"/>
      <c r="H93" s="242"/>
      <c r="I93" s="242"/>
      <c r="J93" s="243"/>
      <c r="L93" s="246"/>
      <c r="M93" s="247"/>
      <c r="N93" s="242"/>
      <c r="O93" s="242"/>
      <c r="P93" s="242"/>
      <c r="Q93" s="242"/>
      <c r="R93" s="242"/>
      <c r="S93" s="242"/>
      <c r="T93" s="243"/>
    </row>
    <row r="94" spans="2:20" ht="11.1" customHeight="1" x14ac:dyDescent="0.2">
      <c r="B94" s="248" t="s">
        <v>219</v>
      </c>
      <c r="C94" s="249"/>
      <c r="D94" s="249"/>
      <c r="E94" s="249"/>
      <c r="F94" s="249"/>
      <c r="G94" s="249"/>
      <c r="H94" s="73"/>
      <c r="I94" s="73"/>
      <c r="J94" s="82"/>
      <c r="L94" s="248" t="s">
        <v>220</v>
      </c>
      <c r="M94" s="249"/>
      <c r="N94" s="249"/>
      <c r="O94" s="249"/>
      <c r="P94" s="249"/>
      <c r="Q94" s="249"/>
      <c r="R94" s="73"/>
      <c r="S94" s="73"/>
      <c r="T94" s="82"/>
    </row>
    <row r="95" spans="2:20" ht="11.1" customHeight="1" x14ac:dyDescent="0.2">
      <c r="B95" s="238" t="s">
        <v>204</v>
      </c>
      <c r="C95" s="238"/>
      <c r="D95" s="52">
        <v>377271</v>
      </c>
      <c r="E95" s="52">
        <v>243547</v>
      </c>
      <c r="F95" s="52">
        <v>256775</v>
      </c>
      <c r="G95" s="52"/>
      <c r="H95" s="52">
        <f t="shared" ref="H95:H106" si="60">SUM(D95:G95)</f>
        <v>877593</v>
      </c>
      <c r="I95" s="52"/>
      <c r="J95" s="52">
        <f>H95+I95</f>
        <v>877593</v>
      </c>
      <c r="L95" s="238" t="s">
        <v>204</v>
      </c>
      <c r="M95" s="238"/>
      <c r="N95" s="52">
        <f t="shared" ref="N95:Q96" si="61">D95-D65</f>
        <v>97657</v>
      </c>
      <c r="O95" s="52">
        <f t="shared" si="61"/>
        <v>69001</v>
      </c>
      <c r="P95" s="52">
        <f t="shared" si="61"/>
        <v>67179</v>
      </c>
      <c r="Q95" s="52">
        <f t="shared" si="61"/>
        <v>0</v>
      </c>
      <c r="R95" s="52">
        <f>SUM(N95:Q95)</f>
        <v>233837</v>
      </c>
      <c r="S95" s="52">
        <f>I95-I65</f>
        <v>0</v>
      </c>
      <c r="T95" s="52">
        <f t="shared" ref="T95:T106" si="62">R95+S95</f>
        <v>233837</v>
      </c>
    </row>
    <row r="96" spans="2:20" ht="11.1" customHeight="1" x14ac:dyDescent="0.2">
      <c r="B96" s="238" t="s">
        <v>33</v>
      </c>
      <c r="C96" s="238"/>
      <c r="D96" s="52">
        <v>281978</v>
      </c>
      <c r="E96" s="52">
        <v>186067</v>
      </c>
      <c r="F96" s="52">
        <v>171786</v>
      </c>
      <c r="G96" s="52"/>
      <c r="H96" s="52">
        <f t="shared" si="60"/>
        <v>639831</v>
      </c>
      <c r="I96" s="52"/>
      <c r="J96" s="52">
        <f t="shared" ref="J96:J106" si="63">H96+I96</f>
        <v>639831</v>
      </c>
      <c r="L96" s="238" t="s">
        <v>33</v>
      </c>
      <c r="M96" s="238"/>
      <c r="N96" s="52">
        <f t="shared" si="61"/>
        <v>79754</v>
      </c>
      <c r="O96" s="52">
        <f t="shared" si="61"/>
        <v>51429</v>
      </c>
      <c r="P96" s="52">
        <f t="shared" si="61"/>
        <v>51305</v>
      </c>
      <c r="Q96" s="52">
        <f t="shared" si="61"/>
        <v>0</v>
      </c>
      <c r="R96" s="52">
        <f t="shared" ref="R96:R106" si="64">SUM(N96:Q96)</f>
        <v>182488</v>
      </c>
      <c r="S96" s="52">
        <f>I96-I66</f>
        <v>0</v>
      </c>
      <c r="T96" s="52">
        <f t="shared" si="62"/>
        <v>182488</v>
      </c>
    </row>
    <row r="97" spans="2:20" ht="11.1" customHeight="1" x14ac:dyDescent="0.2">
      <c r="B97" s="232" t="s">
        <v>205</v>
      </c>
      <c r="C97" s="232"/>
      <c r="D97" s="49">
        <f>D95-D96</f>
        <v>95293</v>
      </c>
      <c r="E97" s="49">
        <f>E95-E96</f>
        <v>57480</v>
      </c>
      <c r="F97" s="49">
        <f>F95-F96</f>
        <v>84989</v>
      </c>
      <c r="G97" s="49">
        <f>G95-G96</f>
        <v>0</v>
      </c>
      <c r="H97" s="49">
        <f t="shared" si="60"/>
        <v>237762</v>
      </c>
      <c r="I97" s="49">
        <f>I95-I96</f>
        <v>0</v>
      </c>
      <c r="J97" s="49">
        <f t="shared" si="63"/>
        <v>237762</v>
      </c>
      <c r="L97" s="232" t="s">
        <v>205</v>
      </c>
      <c r="M97" s="232"/>
      <c r="N97" s="49">
        <f>N95-N96</f>
        <v>17903</v>
      </c>
      <c r="O97" s="49">
        <f>O95-O96</f>
        <v>17572</v>
      </c>
      <c r="P97" s="49">
        <f>P95-P96</f>
        <v>15874</v>
      </c>
      <c r="Q97" s="49">
        <f>Q95-Q96</f>
        <v>0</v>
      </c>
      <c r="R97" s="49">
        <f t="shared" si="64"/>
        <v>51349</v>
      </c>
      <c r="S97" s="49">
        <f>S95-S96</f>
        <v>0</v>
      </c>
      <c r="T97" s="49">
        <f t="shared" si="62"/>
        <v>51349</v>
      </c>
    </row>
    <row r="98" spans="2:20" ht="11.1" customHeight="1" x14ac:dyDescent="0.2">
      <c r="B98" s="235" t="s">
        <v>4</v>
      </c>
      <c r="C98" s="236"/>
      <c r="D98" s="52">
        <v>16461</v>
      </c>
      <c r="E98" s="52">
        <v>6418</v>
      </c>
      <c r="F98" s="52">
        <v>16518</v>
      </c>
      <c r="G98" s="52">
        <v>357</v>
      </c>
      <c r="H98" s="52">
        <f t="shared" si="60"/>
        <v>39754</v>
      </c>
      <c r="I98" s="52"/>
      <c r="J98" s="52">
        <f t="shared" si="63"/>
        <v>39754</v>
      </c>
      <c r="L98" s="235" t="s">
        <v>4</v>
      </c>
      <c r="M98" s="236"/>
      <c r="N98" s="52">
        <f t="shared" ref="N98:Q99" si="65">D98-D68</f>
        <v>4089</v>
      </c>
      <c r="O98" s="52">
        <f t="shared" si="65"/>
        <v>1980</v>
      </c>
      <c r="P98" s="52">
        <f t="shared" si="65"/>
        <v>4897</v>
      </c>
      <c r="Q98" s="52">
        <f t="shared" si="65"/>
        <v>74</v>
      </c>
      <c r="R98" s="52">
        <f t="shared" si="64"/>
        <v>11040</v>
      </c>
      <c r="S98" s="52">
        <f>I98-I68</f>
        <v>0</v>
      </c>
      <c r="T98" s="52">
        <f t="shared" si="62"/>
        <v>11040</v>
      </c>
    </row>
    <row r="99" spans="2:20" ht="11.1" customHeight="1" x14ac:dyDescent="0.2">
      <c r="B99" s="235" t="s">
        <v>5</v>
      </c>
      <c r="C99" s="236"/>
      <c r="D99" s="52">
        <v>56443</v>
      </c>
      <c r="E99" s="52">
        <v>24813</v>
      </c>
      <c r="F99" s="52">
        <v>39408</v>
      </c>
      <c r="G99" s="52">
        <v>2810</v>
      </c>
      <c r="H99" s="52">
        <f t="shared" si="60"/>
        <v>123474</v>
      </c>
      <c r="I99" s="52"/>
      <c r="J99" s="52">
        <f t="shared" si="63"/>
        <v>123474</v>
      </c>
      <c r="L99" s="235" t="s">
        <v>5</v>
      </c>
      <c r="M99" s="236"/>
      <c r="N99" s="52">
        <f t="shared" si="65"/>
        <v>13479</v>
      </c>
      <c r="O99" s="52">
        <f t="shared" si="65"/>
        <v>6205</v>
      </c>
      <c r="P99" s="52">
        <f t="shared" si="65"/>
        <v>9746</v>
      </c>
      <c r="Q99" s="52">
        <f t="shared" si="65"/>
        <v>647</v>
      </c>
      <c r="R99" s="52">
        <f t="shared" si="64"/>
        <v>30077</v>
      </c>
      <c r="S99" s="52">
        <f>I99-I69</f>
        <v>0</v>
      </c>
      <c r="T99" s="52">
        <f t="shared" si="62"/>
        <v>30077</v>
      </c>
    </row>
    <row r="100" spans="2:20" ht="11.1" customHeight="1" x14ac:dyDescent="0.2">
      <c r="B100" s="232" t="s">
        <v>206</v>
      </c>
      <c r="C100" s="232"/>
      <c r="D100" s="49">
        <f>D97-D98-D99</f>
        <v>22389</v>
      </c>
      <c r="E100" s="49">
        <f>E97-E98-E99</f>
        <v>26249</v>
      </c>
      <c r="F100" s="49">
        <f>F97-F98-F99</f>
        <v>29063</v>
      </c>
      <c r="G100" s="49">
        <f>G97-G98-G99</f>
        <v>-3167</v>
      </c>
      <c r="H100" s="49">
        <f t="shared" si="60"/>
        <v>74534</v>
      </c>
      <c r="I100" s="49">
        <f>I97-I98-I99</f>
        <v>0</v>
      </c>
      <c r="J100" s="49">
        <f t="shared" si="63"/>
        <v>74534</v>
      </c>
      <c r="L100" s="232" t="s">
        <v>206</v>
      </c>
      <c r="M100" s="232"/>
      <c r="N100" s="49">
        <f>N97-N98-N99</f>
        <v>335</v>
      </c>
      <c r="O100" s="49">
        <f>O97-O98-O99</f>
        <v>9387</v>
      </c>
      <c r="P100" s="49">
        <f>P97-P98-P99</f>
        <v>1231</v>
      </c>
      <c r="Q100" s="49">
        <f>Q97-Q98-Q99</f>
        <v>-721</v>
      </c>
      <c r="R100" s="49">
        <f t="shared" si="64"/>
        <v>10232</v>
      </c>
      <c r="S100" s="49">
        <f>S97-S98-S99</f>
        <v>0</v>
      </c>
      <c r="T100" s="49">
        <f t="shared" si="62"/>
        <v>10232</v>
      </c>
    </row>
    <row r="101" spans="2:20" ht="11.1" customHeight="1" x14ac:dyDescent="0.2">
      <c r="B101" s="235" t="s">
        <v>207</v>
      </c>
      <c r="C101" s="236"/>
      <c r="D101" s="52">
        <v>1044</v>
      </c>
      <c r="E101" s="52">
        <v>1964</v>
      </c>
      <c r="F101" s="52">
        <v>-2518</v>
      </c>
      <c r="G101" s="52">
        <v>0</v>
      </c>
      <c r="H101" s="52">
        <f t="shared" si="60"/>
        <v>490</v>
      </c>
      <c r="I101" s="52">
        <v>0</v>
      </c>
      <c r="J101" s="52">
        <f t="shared" si="63"/>
        <v>490</v>
      </c>
      <c r="L101" s="235" t="s">
        <v>207</v>
      </c>
      <c r="M101" s="236"/>
      <c r="N101" s="52">
        <f t="shared" ref="N101:Q103" si="66">D101-D71</f>
        <v>5666</v>
      </c>
      <c r="O101" s="52">
        <f t="shared" si="66"/>
        <v>167</v>
      </c>
      <c r="P101" s="52">
        <f t="shared" si="66"/>
        <v>-476</v>
      </c>
      <c r="Q101" s="52">
        <f t="shared" si="66"/>
        <v>0</v>
      </c>
      <c r="R101" s="52">
        <f t="shared" si="64"/>
        <v>5357</v>
      </c>
      <c r="S101" s="52">
        <f>I101-I71</f>
        <v>0</v>
      </c>
      <c r="T101" s="52">
        <f t="shared" si="62"/>
        <v>5357</v>
      </c>
    </row>
    <row r="102" spans="2:20" ht="11.1" customHeight="1" x14ac:dyDescent="0.2">
      <c r="B102" s="237" t="s">
        <v>208</v>
      </c>
      <c r="C102" s="236"/>
      <c r="D102" s="52">
        <v>0</v>
      </c>
      <c r="E102" s="52">
        <v>-277</v>
      </c>
      <c r="F102" s="52">
        <v>1670</v>
      </c>
      <c r="G102" s="52">
        <v>0</v>
      </c>
      <c r="H102" s="52">
        <f t="shared" si="60"/>
        <v>1393</v>
      </c>
      <c r="I102" s="52"/>
      <c r="J102" s="52">
        <f t="shared" si="63"/>
        <v>1393</v>
      </c>
      <c r="L102" s="237" t="s">
        <v>208</v>
      </c>
      <c r="M102" s="236"/>
      <c r="N102" s="52">
        <f t="shared" si="66"/>
        <v>0</v>
      </c>
      <c r="O102" s="52">
        <f t="shared" si="66"/>
        <v>-277</v>
      </c>
      <c r="P102" s="52">
        <f t="shared" si="66"/>
        <v>504</v>
      </c>
      <c r="Q102" s="52">
        <f t="shared" si="66"/>
        <v>0</v>
      </c>
      <c r="R102" s="52">
        <f t="shared" si="64"/>
        <v>227</v>
      </c>
      <c r="S102" s="52">
        <f>I102-I72</f>
        <v>0</v>
      </c>
      <c r="T102" s="52">
        <f t="shared" si="62"/>
        <v>227</v>
      </c>
    </row>
    <row r="103" spans="2:20" ht="11.1" customHeight="1" x14ac:dyDescent="0.2">
      <c r="B103" s="237" t="s">
        <v>27</v>
      </c>
      <c r="C103" s="236"/>
      <c r="D103" s="52"/>
      <c r="E103" s="52"/>
      <c r="F103" s="52"/>
      <c r="G103" s="52"/>
      <c r="H103" s="52">
        <f t="shared" si="60"/>
        <v>0</v>
      </c>
      <c r="I103" s="52">
        <v>0</v>
      </c>
      <c r="J103" s="52">
        <f t="shared" si="63"/>
        <v>0</v>
      </c>
      <c r="L103" s="237" t="s">
        <v>27</v>
      </c>
      <c r="M103" s="236"/>
      <c r="N103" s="52">
        <f t="shared" si="66"/>
        <v>0</v>
      </c>
      <c r="O103" s="52">
        <f t="shared" si="66"/>
        <v>0</v>
      </c>
      <c r="P103" s="52">
        <f t="shared" si="66"/>
        <v>0</v>
      </c>
      <c r="Q103" s="52">
        <f t="shared" si="66"/>
        <v>0</v>
      </c>
      <c r="R103" s="52">
        <f t="shared" si="64"/>
        <v>0</v>
      </c>
      <c r="S103" s="52">
        <f>I103-I73</f>
        <v>0</v>
      </c>
      <c r="T103" s="52">
        <f t="shared" si="62"/>
        <v>0</v>
      </c>
    </row>
    <row r="104" spans="2:20" ht="11.1" customHeight="1" x14ac:dyDescent="0.2">
      <c r="B104" s="232" t="s">
        <v>209</v>
      </c>
      <c r="C104" s="232"/>
      <c r="D104" s="49">
        <f>D100+D101+D102+D103</f>
        <v>23433</v>
      </c>
      <c r="E104" s="49">
        <f>E100+E101+E102+E103</f>
        <v>27936</v>
      </c>
      <c r="F104" s="49">
        <f>F100+F101+F102+F103</f>
        <v>28215</v>
      </c>
      <c r="G104" s="49">
        <f>G100+G101+G102+G103</f>
        <v>-3167</v>
      </c>
      <c r="H104" s="49">
        <f t="shared" si="60"/>
        <v>76417</v>
      </c>
      <c r="I104" s="49">
        <f>I100+I101+I103</f>
        <v>0</v>
      </c>
      <c r="J104" s="49">
        <f>H104+I104</f>
        <v>76417</v>
      </c>
      <c r="L104" s="232" t="s">
        <v>209</v>
      </c>
      <c r="M104" s="232"/>
      <c r="N104" s="49">
        <f t="shared" ref="N104:Q104" si="67">N100+N101+N102+N103</f>
        <v>6001</v>
      </c>
      <c r="O104" s="49">
        <f t="shared" si="67"/>
        <v>9277</v>
      </c>
      <c r="P104" s="49">
        <f t="shared" si="67"/>
        <v>1259</v>
      </c>
      <c r="Q104" s="49">
        <f t="shared" si="67"/>
        <v>-721</v>
      </c>
      <c r="R104" s="49">
        <f t="shared" si="64"/>
        <v>15816</v>
      </c>
      <c r="S104" s="49">
        <f>S100+S101+S103</f>
        <v>0</v>
      </c>
      <c r="T104" s="49">
        <f t="shared" si="62"/>
        <v>15816</v>
      </c>
    </row>
    <row r="105" spans="2:20" ht="11.1" customHeight="1" x14ac:dyDescent="0.2">
      <c r="B105" s="77" t="s">
        <v>22</v>
      </c>
      <c r="C105" s="78"/>
      <c r="D105" s="49">
        <v>24950</v>
      </c>
      <c r="E105" s="49">
        <v>15415</v>
      </c>
      <c r="F105" s="49">
        <v>9506</v>
      </c>
      <c r="G105" s="49">
        <v>0</v>
      </c>
      <c r="H105" s="49">
        <f t="shared" si="60"/>
        <v>49871</v>
      </c>
      <c r="I105" s="49">
        <v>0</v>
      </c>
      <c r="J105" s="49">
        <f t="shared" si="63"/>
        <v>49871</v>
      </c>
      <c r="L105" s="77" t="s">
        <v>22</v>
      </c>
      <c r="M105" s="78"/>
      <c r="N105" s="49">
        <f>D105-D75</f>
        <v>6426</v>
      </c>
      <c r="O105" s="49">
        <f>E105-E75</f>
        <v>3718</v>
      </c>
      <c r="P105" s="49">
        <f>F105-F75</f>
        <v>2695</v>
      </c>
      <c r="Q105" s="49">
        <f>G105-G75</f>
        <v>0</v>
      </c>
      <c r="R105" s="49">
        <f t="shared" si="64"/>
        <v>12839</v>
      </c>
      <c r="S105" s="49">
        <f>I105-I75</f>
        <v>0</v>
      </c>
      <c r="T105" s="49">
        <f t="shared" si="62"/>
        <v>12839</v>
      </c>
    </row>
    <row r="106" spans="2:20" ht="11.1" customHeight="1" x14ac:dyDescent="0.2">
      <c r="B106" s="233" t="s">
        <v>23</v>
      </c>
      <c r="C106" s="234"/>
      <c r="D106" s="49">
        <f>D104+D105</f>
        <v>48383</v>
      </c>
      <c r="E106" s="49">
        <f t="shared" ref="E106:G106" si="68">E104+E105</f>
        <v>43351</v>
      </c>
      <c r="F106" s="49">
        <f t="shared" si="68"/>
        <v>37721</v>
      </c>
      <c r="G106" s="49">
        <f t="shared" si="68"/>
        <v>-3167</v>
      </c>
      <c r="H106" s="49">
        <f t="shared" si="60"/>
        <v>126288</v>
      </c>
      <c r="I106" s="49">
        <f>I104+I105</f>
        <v>0</v>
      </c>
      <c r="J106" s="49">
        <f t="shared" si="63"/>
        <v>126288</v>
      </c>
      <c r="L106" s="233" t="s">
        <v>23</v>
      </c>
      <c r="M106" s="234"/>
      <c r="N106" s="49">
        <f>N104+N105</f>
        <v>12427</v>
      </c>
      <c r="O106" s="49">
        <f t="shared" ref="O106:Q106" si="69">O104+O105</f>
        <v>12995</v>
      </c>
      <c r="P106" s="49">
        <f t="shared" si="69"/>
        <v>3954</v>
      </c>
      <c r="Q106" s="49">
        <f t="shared" si="69"/>
        <v>-721</v>
      </c>
      <c r="R106" s="49">
        <f t="shared" si="64"/>
        <v>28655</v>
      </c>
      <c r="S106" s="49">
        <f>S104+S105</f>
        <v>0</v>
      </c>
      <c r="T106" s="49">
        <f t="shared" si="62"/>
        <v>28655</v>
      </c>
    </row>
    <row r="107" spans="2:20" ht="11.1" customHeight="1" x14ac:dyDescent="0.2">
      <c r="B107" s="239" t="s">
        <v>221</v>
      </c>
      <c r="C107" s="240"/>
      <c r="D107" s="240"/>
      <c r="E107" s="240"/>
      <c r="F107" s="240"/>
      <c r="G107" s="240"/>
      <c r="H107" s="73"/>
      <c r="I107" s="73"/>
      <c r="J107" s="82"/>
      <c r="L107" s="239" t="s">
        <v>222</v>
      </c>
      <c r="M107" s="240"/>
      <c r="N107" s="240"/>
      <c r="O107" s="240"/>
      <c r="P107" s="240"/>
      <c r="Q107" s="240"/>
      <c r="R107" s="73"/>
      <c r="S107" s="73"/>
      <c r="T107" s="82"/>
    </row>
    <row r="108" spans="2:20" ht="11.1" customHeight="1" x14ac:dyDescent="0.2">
      <c r="B108" s="238" t="s">
        <v>204</v>
      </c>
      <c r="C108" s="238"/>
      <c r="D108" s="52">
        <v>385922</v>
      </c>
      <c r="E108" s="52">
        <v>183536</v>
      </c>
      <c r="F108" s="52">
        <v>258344</v>
      </c>
      <c r="G108" s="52"/>
      <c r="H108" s="52">
        <f t="shared" ref="H108:H119" si="70">SUM(D108:G108)</f>
        <v>827802</v>
      </c>
      <c r="I108" s="52">
        <v>16241</v>
      </c>
      <c r="J108" s="52">
        <f>H108+I108</f>
        <v>844043</v>
      </c>
      <c r="L108" s="238" t="s">
        <v>204</v>
      </c>
      <c r="M108" s="238"/>
      <c r="N108" s="52">
        <f t="shared" ref="N108:Q109" si="71">D108-D78</f>
        <v>115307</v>
      </c>
      <c r="O108" s="52">
        <f t="shared" si="71"/>
        <v>48609</v>
      </c>
      <c r="P108" s="52">
        <f t="shared" si="71"/>
        <v>77173</v>
      </c>
      <c r="Q108" s="52">
        <f t="shared" si="71"/>
        <v>0</v>
      </c>
      <c r="R108" s="52">
        <f>SUM(N108:Q108)</f>
        <v>241089</v>
      </c>
      <c r="S108" s="52">
        <f>I108-I78</f>
        <v>2274</v>
      </c>
      <c r="T108" s="52">
        <f t="shared" ref="T108:T119" si="72">R108+S108</f>
        <v>243363</v>
      </c>
    </row>
    <row r="109" spans="2:20" ht="11.1" customHeight="1" x14ac:dyDescent="0.2">
      <c r="B109" s="238" t="s">
        <v>33</v>
      </c>
      <c r="C109" s="238"/>
      <c r="D109" s="52">
        <v>266876</v>
      </c>
      <c r="E109" s="52">
        <v>142552</v>
      </c>
      <c r="F109" s="52">
        <v>159469</v>
      </c>
      <c r="G109" s="52"/>
      <c r="H109" s="52">
        <f t="shared" si="70"/>
        <v>568897</v>
      </c>
      <c r="I109" s="52">
        <v>14619</v>
      </c>
      <c r="J109" s="52">
        <f t="shared" ref="J109:J119" si="73">H109+I109</f>
        <v>583516</v>
      </c>
      <c r="L109" s="238" t="s">
        <v>33</v>
      </c>
      <c r="M109" s="238"/>
      <c r="N109" s="52">
        <f t="shared" si="71"/>
        <v>77089</v>
      </c>
      <c r="O109" s="52">
        <f t="shared" si="71"/>
        <v>39627</v>
      </c>
      <c r="P109" s="52">
        <f t="shared" si="71"/>
        <v>51822</v>
      </c>
      <c r="Q109" s="52">
        <f t="shared" si="71"/>
        <v>0</v>
      </c>
      <c r="R109" s="52">
        <f t="shared" ref="R109:R119" si="74">SUM(N109:Q109)</f>
        <v>168538</v>
      </c>
      <c r="S109" s="52">
        <f>I109-I79</f>
        <v>2094</v>
      </c>
      <c r="T109" s="52">
        <f t="shared" si="72"/>
        <v>170632</v>
      </c>
    </row>
    <row r="110" spans="2:20" ht="11.1" customHeight="1" x14ac:dyDescent="0.2">
      <c r="B110" s="232" t="s">
        <v>205</v>
      </c>
      <c r="C110" s="232"/>
      <c r="D110" s="49">
        <f>D108-D109</f>
        <v>119046</v>
      </c>
      <c r="E110" s="49">
        <f>E108-E109</f>
        <v>40984</v>
      </c>
      <c r="F110" s="49">
        <f>F108-F109</f>
        <v>98875</v>
      </c>
      <c r="G110" s="49">
        <f>G108-G109</f>
        <v>0</v>
      </c>
      <c r="H110" s="49">
        <f t="shared" si="70"/>
        <v>258905</v>
      </c>
      <c r="I110" s="49">
        <f>I108-I109</f>
        <v>1622</v>
      </c>
      <c r="J110" s="49">
        <f t="shared" si="73"/>
        <v>260527</v>
      </c>
      <c r="L110" s="232" t="s">
        <v>205</v>
      </c>
      <c r="M110" s="232"/>
      <c r="N110" s="49">
        <f>N108-N109</f>
        <v>38218</v>
      </c>
      <c r="O110" s="49">
        <f>O108-O109</f>
        <v>8982</v>
      </c>
      <c r="P110" s="49">
        <f>P108-P109</f>
        <v>25351</v>
      </c>
      <c r="Q110" s="49">
        <f>Q108-Q109</f>
        <v>0</v>
      </c>
      <c r="R110" s="49">
        <f t="shared" si="74"/>
        <v>72551</v>
      </c>
      <c r="S110" s="49">
        <f>S108-S109</f>
        <v>180</v>
      </c>
      <c r="T110" s="49">
        <f t="shared" si="72"/>
        <v>72731</v>
      </c>
    </row>
    <row r="111" spans="2:20" ht="11.1" customHeight="1" x14ac:dyDescent="0.2">
      <c r="B111" s="235" t="s">
        <v>4</v>
      </c>
      <c r="C111" s="236"/>
      <c r="D111" s="52">
        <v>17308</v>
      </c>
      <c r="E111" s="52">
        <v>5903</v>
      </c>
      <c r="F111" s="52">
        <v>18572</v>
      </c>
      <c r="G111" s="52">
        <v>240</v>
      </c>
      <c r="H111" s="52">
        <f t="shared" si="70"/>
        <v>42023</v>
      </c>
      <c r="I111" s="52">
        <v>218</v>
      </c>
      <c r="J111" s="52">
        <f t="shared" si="73"/>
        <v>42241</v>
      </c>
      <c r="L111" s="235" t="s">
        <v>4</v>
      </c>
      <c r="M111" s="236"/>
      <c r="N111" s="52">
        <f t="shared" ref="N111:Q112" si="75">D111-D81</f>
        <v>4975</v>
      </c>
      <c r="O111" s="52">
        <f t="shared" si="75"/>
        <v>1564</v>
      </c>
      <c r="P111" s="52">
        <f t="shared" si="75"/>
        <v>6627</v>
      </c>
      <c r="Q111" s="52">
        <f t="shared" si="75"/>
        <v>60</v>
      </c>
      <c r="R111" s="52">
        <f t="shared" si="74"/>
        <v>13226</v>
      </c>
      <c r="S111" s="52">
        <f>I111-I81</f>
        <v>50</v>
      </c>
      <c r="T111" s="52">
        <f t="shared" si="72"/>
        <v>13276</v>
      </c>
    </row>
    <row r="112" spans="2:20" ht="11.1" customHeight="1" x14ac:dyDescent="0.2">
      <c r="B112" s="235" t="s">
        <v>5</v>
      </c>
      <c r="C112" s="236"/>
      <c r="D112" s="52">
        <v>57631</v>
      </c>
      <c r="E112" s="52">
        <v>22123</v>
      </c>
      <c r="F112" s="52">
        <v>36779</v>
      </c>
      <c r="G112" s="52">
        <f>2580+899</f>
        <v>3479</v>
      </c>
      <c r="H112" s="52">
        <f t="shared" si="70"/>
        <v>120012</v>
      </c>
      <c r="I112" s="52">
        <v>0</v>
      </c>
      <c r="J112" s="52">
        <f t="shared" si="73"/>
        <v>120012</v>
      </c>
      <c r="L112" s="235" t="s">
        <v>5</v>
      </c>
      <c r="M112" s="236"/>
      <c r="N112" s="52">
        <f t="shared" si="75"/>
        <v>15116</v>
      </c>
      <c r="O112" s="52">
        <f t="shared" si="75"/>
        <v>5311</v>
      </c>
      <c r="P112" s="52">
        <f t="shared" si="75"/>
        <v>10837</v>
      </c>
      <c r="Q112" s="52">
        <f t="shared" si="75"/>
        <v>942</v>
      </c>
      <c r="R112" s="52">
        <f t="shared" si="74"/>
        <v>32206</v>
      </c>
      <c r="S112" s="52">
        <f>I112-I82</f>
        <v>0</v>
      </c>
      <c r="T112" s="52">
        <f t="shared" si="72"/>
        <v>32206</v>
      </c>
    </row>
    <row r="113" spans="2:20" ht="11.1" customHeight="1" x14ac:dyDescent="0.2">
      <c r="B113" s="232" t="s">
        <v>206</v>
      </c>
      <c r="C113" s="232"/>
      <c r="D113" s="49">
        <f>D110-D111-D112</f>
        <v>44107</v>
      </c>
      <c r="E113" s="49">
        <f>E110-E111-E112</f>
        <v>12958</v>
      </c>
      <c r="F113" s="49">
        <f>F110-F111-F112</f>
        <v>43524</v>
      </c>
      <c r="G113" s="49">
        <f>G110-G111-G112</f>
        <v>-3719</v>
      </c>
      <c r="H113" s="49">
        <f t="shared" si="70"/>
        <v>96870</v>
      </c>
      <c r="I113" s="49">
        <f>I110-I111-I112</f>
        <v>1404</v>
      </c>
      <c r="J113" s="49">
        <f t="shared" si="73"/>
        <v>98274</v>
      </c>
      <c r="L113" s="232" t="s">
        <v>206</v>
      </c>
      <c r="M113" s="232"/>
      <c r="N113" s="49">
        <f>N110-N111-N112</f>
        <v>18127</v>
      </c>
      <c r="O113" s="49">
        <f>O110-O111-O112</f>
        <v>2107</v>
      </c>
      <c r="P113" s="49">
        <f>P110-P111-P112</f>
        <v>7887</v>
      </c>
      <c r="Q113" s="49">
        <f>Q110-Q111-Q112</f>
        <v>-1002</v>
      </c>
      <c r="R113" s="49">
        <f t="shared" si="74"/>
        <v>27119</v>
      </c>
      <c r="S113" s="49">
        <f>S110-S111-S112</f>
        <v>130</v>
      </c>
      <c r="T113" s="49">
        <f t="shared" si="72"/>
        <v>27249</v>
      </c>
    </row>
    <row r="114" spans="2:20" ht="11.1" customHeight="1" x14ac:dyDescent="0.2">
      <c r="B114" s="235" t="s">
        <v>207</v>
      </c>
      <c r="C114" s="236"/>
      <c r="D114" s="52">
        <v>-6162</v>
      </c>
      <c r="E114" s="52">
        <v>589</v>
      </c>
      <c r="F114" s="52">
        <v>-2485</v>
      </c>
      <c r="G114" s="52">
        <v>971</v>
      </c>
      <c r="H114" s="52">
        <f t="shared" si="70"/>
        <v>-7087</v>
      </c>
      <c r="I114" s="52"/>
      <c r="J114" s="52">
        <f t="shared" si="73"/>
        <v>-7087</v>
      </c>
      <c r="L114" s="235" t="s">
        <v>207</v>
      </c>
      <c r="M114" s="236"/>
      <c r="N114" s="52">
        <f t="shared" ref="N114:Q116" si="76">D114-D84</f>
        <v>-3358</v>
      </c>
      <c r="O114" s="52">
        <f t="shared" si="76"/>
        <v>438</v>
      </c>
      <c r="P114" s="52">
        <f t="shared" si="76"/>
        <v>-1927</v>
      </c>
      <c r="Q114" s="52">
        <f t="shared" si="76"/>
        <v>125</v>
      </c>
      <c r="R114" s="52">
        <f t="shared" si="74"/>
        <v>-4722</v>
      </c>
      <c r="S114" s="52">
        <f>I114-I84</f>
        <v>0</v>
      </c>
      <c r="T114" s="52">
        <f t="shared" si="72"/>
        <v>-4722</v>
      </c>
    </row>
    <row r="115" spans="2:20" ht="11.1" customHeight="1" x14ac:dyDescent="0.2">
      <c r="B115" s="237" t="s">
        <v>208</v>
      </c>
      <c r="C115" s="236"/>
      <c r="D115" s="52"/>
      <c r="E115" s="52">
        <v>22</v>
      </c>
      <c r="F115" s="52">
        <v>1320</v>
      </c>
      <c r="G115" s="52"/>
      <c r="H115" s="52">
        <f t="shared" si="70"/>
        <v>1342</v>
      </c>
      <c r="I115" s="52"/>
      <c r="J115" s="52">
        <f t="shared" si="73"/>
        <v>1342</v>
      </c>
      <c r="L115" s="237" t="s">
        <v>208</v>
      </c>
      <c r="M115" s="236"/>
      <c r="N115" s="52">
        <f t="shared" si="76"/>
        <v>0</v>
      </c>
      <c r="O115" s="52">
        <f t="shared" si="76"/>
        <v>9</v>
      </c>
      <c r="P115" s="52">
        <f t="shared" si="76"/>
        <v>399</v>
      </c>
      <c r="Q115" s="52">
        <f t="shared" si="76"/>
        <v>1</v>
      </c>
      <c r="R115" s="52">
        <f t="shared" si="74"/>
        <v>409</v>
      </c>
      <c r="S115" s="52">
        <f>I115-I85</f>
        <v>0</v>
      </c>
      <c r="T115" s="52">
        <f t="shared" si="72"/>
        <v>409</v>
      </c>
    </row>
    <row r="116" spans="2:20" ht="11.1" customHeight="1" x14ac:dyDescent="0.2">
      <c r="B116" s="237" t="s">
        <v>27</v>
      </c>
      <c r="C116" s="236"/>
      <c r="D116" s="52">
        <v>0</v>
      </c>
      <c r="E116" s="52"/>
      <c r="F116" s="52"/>
      <c r="G116" s="52">
        <v>0</v>
      </c>
      <c r="H116" s="52">
        <f t="shared" si="70"/>
        <v>0</v>
      </c>
      <c r="I116" s="52">
        <v>0</v>
      </c>
      <c r="J116" s="52">
        <f t="shared" si="73"/>
        <v>0</v>
      </c>
      <c r="L116" s="237" t="s">
        <v>27</v>
      </c>
      <c r="M116" s="236"/>
      <c r="N116" s="52">
        <f t="shared" si="76"/>
        <v>0</v>
      </c>
      <c r="O116" s="52">
        <f t="shared" si="76"/>
        <v>0</v>
      </c>
      <c r="P116" s="52">
        <f t="shared" si="76"/>
        <v>0</v>
      </c>
      <c r="Q116" s="52">
        <f t="shared" si="76"/>
        <v>0</v>
      </c>
      <c r="R116" s="52">
        <f t="shared" si="74"/>
        <v>0</v>
      </c>
      <c r="S116" s="52">
        <f>I116-I86</f>
        <v>0</v>
      </c>
      <c r="T116" s="52">
        <f t="shared" si="72"/>
        <v>0</v>
      </c>
    </row>
    <row r="117" spans="2:20" ht="11.1" customHeight="1" x14ac:dyDescent="0.2">
      <c r="B117" s="232" t="s">
        <v>209</v>
      </c>
      <c r="C117" s="232"/>
      <c r="D117" s="49">
        <f>D113+D114+D115+D116</f>
        <v>37945</v>
      </c>
      <c r="E117" s="49">
        <f>E113+E114+E115+E116</f>
        <v>13569</v>
      </c>
      <c r="F117" s="49">
        <f>F113+F114+F115+F116</f>
        <v>42359</v>
      </c>
      <c r="G117" s="49">
        <f>G113+G114+G115+G116</f>
        <v>-2748</v>
      </c>
      <c r="H117" s="49">
        <f t="shared" si="70"/>
        <v>91125</v>
      </c>
      <c r="I117" s="49">
        <f>I113+I114+I116</f>
        <v>1404</v>
      </c>
      <c r="J117" s="49">
        <f t="shared" si="73"/>
        <v>92529</v>
      </c>
      <c r="L117" s="232" t="s">
        <v>209</v>
      </c>
      <c r="M117" s="232"/>
      <c r="N117" s="49">
        <f t="shared" ref="N117:Q117" si="77">N113+N114+N115+N116</f>
        <v>14769</v>
      </c>
      <c r="O117" s="49">
        <f t="shared" si="77"/>
        <v>2554</v>
      </c>
      <c r="P117" s="49">
        <f t="shared" si="77"/>
        <v>6359</v>
      </c>
      <c r="Q117" s="49">
        <f t="shared" si="77"/>
        <v>-876</v>
      </c>
      <c r="R117" s="49">
        <f t="shared" si="74"/>
        <v>22806</v>
      </c>
      <c r="S117" s="49">
        <f>S113+S114+S116</f>
        <v>130</v>
      </c>
      <c r="T117" s="49">
        <f t="shared" si="72"/>
        <v>22936</v>
      </c>
    </row>
    <row r="118" spans="2:20" ht="11.1" customHeight="1" x14ac:dyDescent="0.2">
      <c r="B118" s="77" t="s">
        <v>22</v>
      </c>
      <c r="C118" s="78"/>
      <c r="D118" s="49">
        <v>21390</v>
      </c>
      <c r="E118" s="49">
        <v>12360</v>
      </c>
      <c r="F118" s="49">
        <v>7777</v>
      </c>
      <c r="G118" s="49">
        <v>255</v>
      </c>
      <c r="H118" s="49">
        <f t="shared" si="70"/>
        <v>41782</v>
      </c>
      <c r="I118" s="49"/>
      <c r="J118" s="49">
        <f t="shared" si="73"/>
        <v>41782</v>
      </c>
      <c r="L118" s="77" t="s">
        <v>22</v>
      </c>
      <c r="M118" s="78"/>
      <c r="N118" s="49">
        <f>D118-D88</f>
        <v>5649</v>
      </c>
      <c r="O118" s="49">
        <f>E118-E88</f>
        <v>3171</v>
      </c>
      <c r="P118" s="49">
        <f>F118-F88</f>
        <v>1972</v>
      </c>
      <c r="Q118" s="49">
        <f>G118-G88</f>
        <v>54</v>
      </c>
      <c r="R118" s="49">
        <f t="shared" si="74"/>
        <v>10846</v>
      </c>
      <c r="S118" s="49">
        <f>I118-I88</f>
        <v>0</v>
      </c>
      <c r="T118" s="49">
        <f t="shared" si="72"/>
        <v>10846</v>
      </c>
    </row>
    <row r="119" spans="2:20" ht="11.1" customHeight="1" x14ac:dyDescent="0.2">
      <c r="B119" s="233" t="s">
        <v>23</v>
      </c>
      <c r="C119" s="234"/>
      <c r="D119" s="49">
        <f>D117+D118</f>
        <v>59335</v>
      </c>
      <c r="E119" s="49">
        <f>E117+E118</f>
        <v>25929</v>
      </c>
      <c r="F119" s="49">
        <f>F117+F118</f>
        <v>50136</v>
      </c>
      <c r="G119" s="49">
        <f>G117+G118</f>
        <v>-2493</v>
      </c>
      <c r="H119" s="49">
        <f t="shared" si="70"/>
        <v>132907</v>
      </c>
      <c r="I119" s="49">
        <f>I117+I118</f>
        <v>1404</v>
      </c>
      <c r="J119" s="49">
        <f t="shared" si="73"/>
        <v>134311</v>
      </c>
      <c r="L119" s="233" t="s">
        <v>23</v>
      </c>
      <c r="M119" s="234"/>
      <c r="N119" s="49">
        <f>N117+N118</f>
        <v>20418</v>
      </c>
      <c r="O119" s="49">
        <f t="shared" ref="O119:Q119" si="78">O117+O118</f>
        <v>5725</v>
      </c>
      <c r="P119" s="49">
        <f t="shared" si="78"/>
        <v>8331</v>
      </c>
      <c r="Q119" s="49">
        <f t="shared" si="78"/>
        <v>-822</v>
      </c>
      <c r="R119" s="49">
        <f t="shared" si="74"/>
        <v>33652</v>
      </c>
      <c r="S119" s="49">
        <f>S117+S118</f>
        <v>130</v>
      </c>
      <c r="T119" s="49">
        <f t="shared" si="72"/>
        <v>33782</v>
      </c>
    </row>
  </sheetData>
  <mergeCells count="256">
    <mergeCell ref="T2:T3"/>
    <mergeCell ref="B4:G4"/>
    <mergeCell ref="L4:Q4"/>
    <mergeCell ref="I2:I3"/>
    <mergeCell ref="J2:J3"/>
    <mergeCell ref="L2:M3"/>
    <mergeCell ref="N2:N3"/>
    <mergeCell ref="O2:O3"/>
    <mergeCell ref="P2:P3"/>
    <mergeCell ref="B2:C3"/>
    <mergeCell ref="D2:D3"/>
    <mergeCell ref="E2:E3"/>
    <mergeCell ref="F2:F3"/>
    <mergeCell ref="G2:G3"/>
    <mergeCell ref="H2:H3"/>
    <mergeCell ref="B5:C5"/>
    <mergeCell ref="L5:M5"/>
    <mergeCell ref="B6:C6"/>
    <mergeCell ref="L6:M6"/>
    <mergeCell ref="B7:C7"/>
    <mergeCell ref="L7:M7"/>
    <mergeCell ref="Q2:Q3"/>
    <mergeCell ref="R2:R3"/>
    <mergeCell ref="S2:S3"/>
    <mergeCell ref="B11:C11"/>
    <mergeCell ref="L11:M11"/>
    <mergeCell ref="B12:C12"/>
    <mergeCell ref="L12:M12"/>
    <mergeCell ref="B13:C13"/>
    <mergeCell ref="L13:M13"/>
    <mergeCell ref="B8:C8"/>
    <mergeCell ref="L8:M8"/>
    <mergeCell ref="B9:C9"/>
    <mergeCell ref="L9:M9"/>
    <mergeCell ref="B10:C10"/>
    <mergeCell ref="L10:M10"/>
    <mergeCell ref="B18:C18"/>
    <mergeCell ref="L18:M18"/>
    <mergeCell ref="B19:C19"/>
    <mergeCell ref="L19:M19"/>
    <mergeCell ref="B20:C20"/>
    <mergeCell ref="L20:M20"/>
    <mergeCell ref="B14:C14"/>
    <mergeCell ref="L14:M14"/>
    <mergeCell ref="B16:C16"/>
    <mergeCell ref="L16:M16"/>
    <mergeCell ref="B17:G17"/>
    <mergeCell ref="L17:Q17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27:C27"/>
    <mergeCell ref="L27:M27"/>
    <mergeCell ref="B29:C29"/>
    <mergeCell ref="L29:M29"/>
    <mergeCell ref="B32:C33"/>
    <mergeCell ref="D32:D33"/>
    <mergeCell ref="E32:E33"/>
    <mergeCell ref="F32:F33"/>
    <mergeCell ref="G32:G33"/>
    <mergeCell ref="H32:H33"/>
    <mergeCell ref="T32:T33"/>
    <mergeCell ref="B34:G34"/>
    <mergeCell ref="L34:Q34"/>
    <mergeCell ref="I32:I33"/>
    <mergeCell ref="J32:J33"/>
    <mergeCell ref="L32:M33"/>
    <mergeCell ref="N32:N33"/>
    <mergeCell ref="O32:O33"/>
    <mergeCell ref="P32:P33"/>
    <mergeCell ref="B35:C35"/>
    <mergeCell ref="L35:M35"/>
    <mergeCell ref="B36:C36"/>
    <mergeCell ref="L36:M36"/>
    <mergeCell ref="B37:C37"/>
    <mergeCell ref="L37:M37"/>
    <mergeCell ref="Q32:Q33"/>
    <mergeCell ref="R32:R33"/>
    <mergeCell ref="S32:S33"/>
    <mergeCell ref="B41:C41"/>
    <mergeCell ref="L41:M41"/>
    <mergeCell ref="B42:C42"/>
    <mergeCell ref="L42:M42"/>
    <mergeCell ref="B43:C43"/>
    <mergeCell ref="L43:M43"/>
    <mergeCell ref="B38:C38"/>
    <mergeCell ref="L38:M38"/>
    <mergeCell ref="B39:C39"/>
    <mergeCell ref="L39:M39"/>
    <mergeCell ref="B40:C40"/>
    <mergeCell ref="L40:M40"/>
    <mergeCell ref="B48:C48"/>
    <mergeCell ref="L48:M48"/>
    <mergeCell ref="B49:C49"/>
    <mergeCell ref="L49:M49"/>
    <mergeCell ref="B50:C50"/>
    <mergeCell ref="L50:M50"/>
    <mergeCell ref="B44:C44"/>
    <mergeCell ref="L44:M44"/>
    <mergeCell ref="B46:C46"/>
    <mergeCell ref="L46:M46"/>
    <mergeCell ref="B47:G47"/>
    <mergeCell ref="L47:Q47"/>
    <mergeCell ref="B54:C54"/>
    <mergeCell ref="L54:M54"/>
    <mergeCell ref="B55:C55"/>
    <mergeCell ref="L55:M55"/>
    <mergeCell ref="B56:C56"/>
    <mergeCell ref="L56:M56"/>
    <mergeCell ref="B51:C51"/>
    <mergeCell ref="L51:M51"/>
    <mergeCell ref="B52:C52"/>
    <mergeCell ref="L52:M52"/>
    <mergeCell ref="B53:C53"/>
    <mergeCell ref="L53:M53"/>
    <mergeCell ref="B57:C57"/>
    <mergeCell ref="L57:M57"/>
    <mergeCell ref="B59:C59"/>
    <mergeCell ref="L59:M59"/>
    <mergeCell ref="B62:C63"/>
    <mergeCell ref="D62:D63"/>
    <mergeCell ref="E62:E63"/>
    <mergeCell ref="F62:F63"/>
    <mergeCell ref="G62:G63"/>
    <mergeCell ref="H62:H63"/>
    <mergeCell ref="T62:T63"/>
    <mergeCell ref="B64:G64"/>
    <mergeCell ref="L64:Q64"/>
    <mergeCell ref="I62:I63"/>
    <mergeCell ref="J62:J63"/>
    <mergeCell ref="L62:M63"/>
    <mergeCell ref="N62:N63"/>
    <mergeCell ref="O62:O63"/>
    <mergeCell ref="P62:P63"/>
    <mergeCell ref="B65:C65"/>
    <mergeCell ref="L65:M65"/>
    <mergeCell ref="B66:C66"/>
    <mergeCell ref="L66:M66"/>
    <mergeCell ref="B67:C67"/>
    <mergeCell ref="L67:M67"/>
    <mergeCell ref="Q62:Q63"/>
    <mergeCell ref="R62:R63"/>
    <mergeCell ref="S62:S63"/>
    <mergeCell ref="B71:C71"/>
    <mergeCell ref="L71:M71"/>
    <mergeCell ref="B72:C72"/>
    <mergeCell ref="L72:M72"/>
    <mergeCell ref="B73:C73"/>
    <mergeCell ref="L73:M73"/>
    <mergeCell ref="B68:C68"/>
    <mergeCell ref="L68:M68"/>
    <mergeCell ref="B69:C69"/>
    <mergeCell ref="L69:M69"/>
    <mergeCell ref="B70:C70"/>
    <mergeCell ref="L70:M70"/>
    <mergeCell ref="B78:C78"/>
    <mergeCell ref="L78:M78"/>
    <mergeCell ref="B79:C79"/>
    <mergeCell ref="L79:M79"/>
    <mergeCell ref="B80:C80"/>
    <mergeCell ref="L80:M80"/>
    <mergeCell ref="B74:C74"/>
    <mergeCell ref="L74:M74"/>
    <mergeCell ref="B76:C76"/>
    <mergeCell ref="L76:M76"/>
    <mergeCell ref="B77:G77"/>
    <mergeCell ref="L77:Q77"/>
    <mergeCell ref="B84:C84"/>
    <mergeCell ref="L84:M84"/>
    <mergeCell ref="B85:C85"/>
    <mergeCell ref="L85:M85"/>
    <mergeCell ref="B86:C86"/>
    <mergeCell ref="L86:M86"/>
    <mergeCell ref="B81:C81"/>
    <mergeCell ref="L81:M81"/>
    <mergeCell ref="B82:C82"/>
    <mergeCell ref="L82:M82"/>
    <mergeCell ref="B83:C83"/>
    <mergeCell ref="L83:M83"/>
    <mergeCell ref="B87:C87"/>
    <mergeCell ref="L87:M87"/>
    <mergeCell ref="B89:C89"/>
    <mergeCell ref="L89:M89"/>
    <mergeCell ref="B92:C93"/>
    <mergeCell ref="D92:D93"/>
    <mergeCell ref="E92:E93"/>
    <mergeCell ref="F92:F93"/>
    <mergeCell ref="G92:G93"/>
    <mergeCell ref="H92:H93"/>
    <mergeCell ref="Q92:Q93"/>
    <mergeCell ref="R92:R93"/>
    <mergeCell ref="S92:S93"/>
    <mergeCell ref="T92:T93"/>
    <mergeCell ref="B94:G94"/>
    <mergeCell ref="L94:Q94"/>
    <mergeCell ref="I92:I93"/>
    <mergeCell ref="J92:J93"/>
    <mergeCell ref="L92:M93"/>
    <mergeCell ref="N92:N93"/>
    <mergeCell ref="O92:O93"/>
    <mergeCell ref="P92:P93"/>
    <mergeCell ref="B98:C98"/>
    <mergeCell ref="L98:M98"/>
    <mergeCell ref="B99:C99"/>
    <mergeCell ref="L99:M99"/>
    <mergeCell ref="B100:C100"/>
    <mergeCell ref="L100:M100"/>
    <mergeCell ref="B95:C95"/>
    <mergeCell ref="L95:M95"/>
    <mergeCell ref="B96:C96"/>
    <mergeCell ref="L96:M96"/>
    <mergeCell ref="B97:C97"/>
    <mergeCell ref="L97:M97"/>
    <mergeCell ref="B104:C104"/>
    <mergeCell ref="L104:M104"/>
    <mergeCell ref="B106:C106"/>
    <mergeCell ref="L106:M106"/>
    <mergeCell ref="B107:G107"/>
    <mergeCell ref="L107:Q107"/>
    <mergeCell ref="B101:C101"/>
    <mergeCell ref="L101:M101"/>
    <mergeCell ref="B102:C102"/>
    <mergeCell ref="L102:M102"/>
    <mergeCell ref="B103:C103"/>
    <mergeCell ref="L103:M103"/>
    <mergeCell ref="B111:C111"/>
    <mergeCell ref="L111:M111"/>
    <mergeCell ref="B112:C112"/>
    <mergeCell ref="L112:M112"/>
    <mergeCell ref="B113:C113"/>
    <mergeCell ref="L113:M113"/>
    <mergeCell ref="B108:C108"/>
    <mergeCell ref="L108:M108"/>
    <mergeCell ref="B109:C109"/>
    <mergeCell ref="L109:M109"/>
    <mergeCell ref="B110:C110"/>
    <mergeCell ref="L110:M110"/>
    <mergeCell ref="B117:C117"/>
    <mergeCell ref="L117:M117"/>
    <mergeCell ref="B119:C119"/>
    <mergeCell ref="L119:M119"/>
    <mergeCell ref="B114:C114"/>
    <mergeCell ref="L114:M114"/>
    <mergeCell ref="B115:C115"/>
    <mergeCell ref="L115:M115"/>
    <mergeCell ref="B116:C116"/>
    <mergeCell ref="L116:M116"/>
  </mergeCells>
  <pageMargins left="0.78740157480314965" right="0.78740157480314965" top="0.78740157480314965" bottom="0.78740157480314965" header="0.51181102362204722" footer="0.51181102362204722"/>
  <pageSetup paperSize="9" scale="85" orientation="landscape" cellComments="asDisplayed" r:id="rId1"/>
  <headerFooter alignWithMargins="0">
    <oddHeader>&amp;R&amp;"Arial,Kursywa"&amp;8&amp;F</oddHeader>
    <oddFooter>&amp;R&amp;8Strona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Nazwane zakresy</vt:lpstr>
      </vt:variant>
      <vt:variant>
        <vt:i4>14</vt:i4>
      </vt:variant>
    </vt:vector>
  </HeadingPairs>
  <TitlesOfParts>
    <vt:vector size="31" baseType="lpstr">
      <vt:lpstr>Menu</vt:lpstr>
      <vt:lpstr>Summary</vt:lpstr>
      <vt:lpstr>_P&amp;L(g) (old)</vt:lpstr>
      <vt:lpstr>P&amp;L(q)</vt:lpstr>
      <vt:lpstr>P&amp;L(y)</vt:lpstr>
      <vt:lpstr>BS</vt:lpstr>
      <vt:lpstr>CF</vt:lpstr>
      <vt:lpstr>Segmenty 2018</vt:lpstr>
      <vt:lpstr>Segmenty 2019 (2)</vt:lpstr>
      <vt:lpstr>Segmenty 2019</vt:lpstr>
      <vt:lpstr>Segmenty 2020 (2)</vt:lpstr>
      <vt:lpstr>Segmenty 2020</vt:lpstr>
      <vt:lpstr>EE</vt:lpstr>
      <vt:lpstr>W&amp;H</vt:lpstr>
      <vt:lpstr>GAZ</vt:lpstr>
      <vt:lpstr>Arkusz2</vt:lpstr>
      <vt:lpstr>Arkusz1</vt:lpstr>
      <vt:lpstr>'_P&amp;L(g) (old)'!Obszar_wydruku</vt:lpstr>
      <vt:lpstr>BS!Obszar_wydruku</vt:lpstr>
      <vt:lpstr>CF!Obszar_wydruku</vt:lpstr>
      <vt:lpstr>EE!Obszar_wydruku</vt:lpstr>
      <vt:lpstr>GAZ!Obszar_wydruku</vt:lpstr>
      <vt:lpstr>'P&amp;L(q)'!Obszar_wydruku</vt:lpstr>
      <vt:lpstr>'P&amp;L(y)'!Obszar_wydruku</vt:lpstr>
      <vt:lpstr>'Segmenty 2018'!Obszar_wydruku</vt:lpstr>
      <vt:lpstr>'Segmenty 2019'!Obszar_wydruku</vt:lpstr>
      <vt:lpstr>'Segmenty 2019 (2)'!Obszar_wydruku</vt:lpstr>
      <vt:lpstr>'Segmenty 2020'!Obszar_wydruku</vt:lpstr>
      <vt:lpstr>'Segmenty 2020 (2)'!Obszar_wydruku</vt:lpstr>
      <vt:lpstr>Summary!Obszar_wydruku</vt:lpstr>
      <vt:lpstr>'W&amp;H'!Obszar_wydruku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SADOWSKA KAROLINA</dc:creator>
  <cp:lastModifiedBy>Sadowska Karolina</cp:lastModifiedBy>
  <cp:lastPrinted>2021-02-26T13:44:25Z</cp:lastPrinted>
  <dcterms:created xsi:type="dcterms:W3CDTF">2020-11-10T17:49:38Z</dcterms:created>
  <dcterms:modified xsi:type="dcterms:W3CDTF">2022-04-13T11:51:34Z</dcterms:modified>
</cp:coreProperties>
</file>